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tabRatio="815" firstSheet="7" activeTab="11"/>
  </bookViews>
  <sheets>
    <sheet name="Шос.21" sheetId="1" r:id="rId1"/>
    <sheet name="Шол.33" sheetId="2" r:id="rId2"/>
    <sheet name="Шол.33а" sheetId="3" r:id="rId3"/>
    <sheet name="Шол.33б" sheetId="4" r:id="rId4"/>
    <sheet name="Шол.35" sheetId="5" r:id="rId5"/>
    <sheet name="Коммун 33" sheetId="6" r:id="rId6"/>
    <sheet name="Калинина 3" sheetId="7" r:id="rId7"/>
    <sheet name="Шосс 67" sheetId="8" r:id="rId8"/>
    <sheet name="пер Клуб 1" sheetId="9" r:id="rId9"/>
    <sheet name="Ленина 32" sheetId="10" r:id="rId10"/>
    <sheet name="пер Клуб 3" sheetId="11" r:id="rId11"/>
    <sheet name="Коммун 64" sheetId="12" r:id="rId12"/>
    <sheet name="Шосс 31" sheetId="13" r:id="rId13"/>
    <sheet name="Кар Маркса73" sheetId="14" r:id="rId14"/>
    <sheet name="Каз 16" sheetId="15" r:id="rId15"/>
    <sheet name="Каз 16а" sheetId="16" r:id="rId16"/>
    <sheet name="Кар Маркса58" sheetId="17" r:id="rId17"/>
    <sheet name="Лист1" sheetId="18" r:id="rId18"/>
  </sheets>
  <definedNames/>
  <calcPr fullCalcOnLoad="1"/>
</workbook>
</file>

<file path=xl/sharedStrings.xml><?xml version="1.0" encoding="utf-8"?>
<sst xmlns="http://schemas.openxmlformats.org/spreadsheetml/2006/main" count="1269" uniqueCount="235">
  <si>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</si>
  <si>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</si>
  <si>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</si>
  <si>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</si>
  <si>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</si>
  <si>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</si>
  <si>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</si>
  <si>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</si>
  <si>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</si>
  <si>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</si>
  <si>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</si>
  <si>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</si>
  <si>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</si>
  <si>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тех.содержание</t>
  </si>
  <si>
    <t>кап</t>
  </si>
  <si>
    <t>найм</t>
  </si>
  <si>
    <t>Итого:</t>
  </si>
  <si>
    <t>НАЧИСЛЕНЫ платежи населения</t>
  </si>
  <si>
    <t>ПОСТУПИЛИ платежи населения</t>
  </si>
  <si>
    <t>% сбора</t>
  </si>
  <si>
    <t>Задолжен. по пл. населения .</t>
  </si>
  <si>
    <t>РАСХОД</t>
  </si>
  <si>
    <t>% банка</t>
  </si>
  <si>
    <t xml:space="preserve">Остаток </t>
  </si>
  <si>
    <t>Исп.Пуцкова Т.В.</t>
  </si>
  <si>
    <t>3-17-04</t>
  </si>
  <si>
    <t>Газ текущие платежи   (АДС; тех.обсл.)</t>
  </si>
  <si>
    <t>в том числе</t>
  </si>
  <si>
    <t>накопление средств</t>
  </si>
  <si>
    <t>Обследование жилого фонда(ГСМ)</t>
  </si>
  <si>
    <t>Домофон</t>
  </si>
  <si>
    <t xml:space="preserve">ТБО </t>
  </si>
  <si>
    <t xml:space="preserve"> АДС</t>
  </si>
  <si>
    <t>Вознаграждение  ДЭК</t>
  </si>
  <si>
    <t>ООО"Истим" (обслуж.тепловых счетчиков</t>
  </si>
  <si>
    <t>Паспортист</t>
  </si>
  <si>
    <t>Расходы на сбор платежей населения</t>
  </si>
  <si>
    <r>
      <t>% УПК ООО"Райкоммунсбыт</t>
    </r>
    <r>
      <rPr>
        <b/>
        <sz val="8"/>
        <rFont val="Arial Cyr"/>
        <family val="0"/>
      </rPr>
      <t>"</t>
    </r>
  </si>
  <si>
    <t>обслуживание теплового счетчика</t>
  </si>
  <si>
    <t>Уборка придомовой территории</t>
  </si>
  <si>
    <t>Окашивание придомовой территории</t>
  </si>
  <si>
    <t>Промывка отопительной системы</t>
  </si>
  <si>
    <t>ВЫПОЛНЕННЫЕ РАБОТЫ:(текущий ремонт)</t>
  </si>
  <si>
    <t>Остаток на 01.01.2016г.</t>
  </si>
  <si>
    <t>Остаток  на 01.07.2016г.</t>
  </si>
  <si>
    <t>Аренда склада</t>
  </si>
  <si>
    <t>Щебень/подсыпка прид.территории</t>
  </si>
  <si>
    <t>Уборка территории от утрамбованного снега</t>
  </si>
  <si>
    <t>Перевозка сыпучих материалов</t>
  </si>
  <si>
    <t>Регистрация в ГИС ЖКХ</t>
  </si>
  <si>
    <t>Материалы/ на субботник</t>
  </si>
  <si>
    <t>Материалы/ на окашивание прид.территории</t>
  </si>
  <si>
    <t>Отчистка снега сошедшего с крыши</t>
  </si>
  <si>
    <t>Арматура, саморез</t>
  </si>
  <si>
    <t>Сверло</t>
  </si>
  <si>
    <t>Ремонт отливов с прочисткой сточных жалобов</t>
  </si>
  <si>
    <t>Очистка снега из под кровли</t>
  </si>
  <si>
    <t>Лампа накаливания</t>
  </si>
  <si>
    <t>Замок</t>
  </si>
  <si>
    <t>Установка 2-х светильников</t>
  </si>
  <si>
    <t>Зашивка листовым железом слухового окна</t>
  </si>
  <si>
    <t>Разборка вентел.шахты, прочистка вент.каналов</t>
  </si>
  <si>
    <t>Ремонт вентиляции</t>
  </si>
  <si>
    <t>Дефектная ведомосьб на ремонт кровли</t>
  </si>
  <si>
    <t>Отсев</t>
  </si>
  <si>
    <t>Ремонт горки ,откоса,песоцницы,перила</t>
  </si>
  <si>
    <t>Транспортные услуги</t>
  </si>
  <si>
    <t>Щебень</t>
  </si>
  <si>
    <t>Установка заглушки на розливе ХВС</t>
  </si>
  <si>
    <t>Подсыпка прид.территории</t>
  </si>
  <si>
    <t>Ремонт скамейки</t>
  </si>
  <si>
    <t>Ремонт замка входной двери</t>
  </si>
  <si>
    <t>Текущий ремонт кровли в местах протекания</t>
  </si>
  <si>
    <t>Замена электроламп</t>
  </si>
  <si>
    <t>Электролампы</t>
  </si>
  <si>
    <t>Замок,штапель,ггидрозол</t>
  </si>
  <si>
    <t>Ремонт скамейки, входной двери</t>
  </si>
  <si>
    <t>Ремонт внутрид.элект.оборудования</t>
  </si>
  <si>
    <t>Установка нового отлива</t>
  </si>
  <si>
    <t>Установка одного светильника</t>
  </si>
  <si>
    <t>Отчистка снега  с кровли</t>
  </si>
  <si>
    <t>Поощрение дворнику</t>
  </si>
  <si>
    <t>Ремонт электрич.оборудования</t>
  </si>
  <si>
    <t>Черенок,метла, перчатки</t>
  </si>
  <si>
    <t>Ремонт лесничного деревян.схода в подвал</t>
  </si>
  <si>
    <t>Саморез,пена,петля,гвозди,саморез</t>
  </si>
  <si>
    <t>Перевозка и установка железоб.блоков</t>
  </si>
  <si>
    <t>Установка насоса</t>
  </si>
  <si>
    <t>Устоновка электр. Счетчика</t>
  </si>
  <si>
    <t>Ул.Коммунистическая,33</t>
  </si>
  <si>
    <t>площадь 2732,7кв.м.</t>
  </si>
  <si>
    <t>Ул.Коммунистическая,64</t>
  </si>
  <si>
    <t>площадь 2739,3кв.м</t>
  </si>
  <si>
    <t>Ул.Калинина,3</t>
  </si>
  <si>
    <t>площадь  351,9кв.м</t>
  </si>
  <si>
    <t>Ул.Казачья,16</t>
  </si>
  <si>
    <t>площадь  3357кв.м</t>
  </si>
  <si>
    <t>Ул.Казачья,16 А</t>
  </si>
  <si>
    <t>площадь  3353,7кв.м</t>
  </si>
  <si>
    <t>площадь   1452,7кв.м</t>
  </si>
  <si>
    <t>Ул.Ленина,32</t>
  </si>
  <si>
    <t>площадь  1538,6кв.м</t>
  </si>
  <si>
    <t>Ул.Шолохова,33</t>
  </si>
  <si>
    <t>площадь  711,5кв.м</t>
  </si>
  <si>
    <t>Ул.Шолохова,33 А</t>
  </si>
  <si>
    <t>площадь  713,6кв.м</t>
  </si>
  <si>
    <t>Ул.Шолохова,33 Б</t>
  </si>
  <si>
    <t>площадь  718,6кв.м</t>
  </si>
  <si>
    <t>Ул.Шолохова,35</t>
  </si>
  <si>
    <t>площадь  707,4кв.м</t>
  </si>
  <si>
    <t>пер.Клубный,1</t>
  </si>
  <si>
    <t>площадь  1539,1кв.м</t>
  </si>
  <si>
    <t>пер.Клубный,3</t>
  </si>
  <si>
    <t>площадь  1537,9кв.м</t>
  </si>
  <si>
    <t>Ул.Шоссейная,21</t>
  </si>
  <si>
    <t>Ул.Шоссейная,31</t>
  </si>
  <si>
    <t>площадь  722,6кв.м</t>
  </si>
  <si>
    <t>площадь  355,2кв.м</t>
  </si>
  <si>
    <t>Окашивание придомовой территории 2015г.</t>
  </si>
  <si>
    <t>Известь,мешки для мусора</t>
  </si>
  <si>
    <t>Покраска детской площадки (краска)</t>
  </si>
  <si>
    <t>Краска</t>
  </si>
  <si>
    <t>Сварочные работы по ремонту мелких конструкц</t>
  </si>
  <si>
    <t>Вывоз мусора</t>
  </si>
  <si>
    <t>Щебень/ планировка территориии щебнем</t>
  </si>
  <si>
    <t>Отсыпка придомовой территории</t>
  </si>
  <si>
    <t>Отчистка от снега отмосток ж/дома</t>
  </si>
  <si>
    <t>Щебень /подсыпка прид.территории</t>
  </si>
  <si>
    <t>Эмаль, кисть</t>
  </si>
  <si>
    <t>Замок,болт,шайба.шуруп</t>
  </si>
  <si>
    <t>Поддержка ГИС ЖКХ</t>
  </si>
  <si>
    <t>Обьявление на дворника</t>
  </si>
  <si>
    <t>Мешки ,перчатки</t>
  </si>
  <si>
    <t>Изготовление фигур из покрышек "Лебедь"</t>
  </si>
  <si>
    <t>Заказное письмо с отчетом ФСС</t>
  </si>
  <si>
    <t>Установка общедомового эл/счетчика</t>
  </si>
  <si>
    <t>Работы по водоотводящей подвальн.пом.мет.трубы</t>
  </si>
  <si>
    <t xml:space="preserve">Краска                                       </t>
  </si>
  <si>
    <t>Насос</t>
  </si>
  <si>
    <t>Книги регистрации (госнадзор)</t>
  </si>
  <si>
    <t>Штраф Госнадзор</t>
  </si>
  <si>
    <t>Остаток  на 01.08.2016г.</t>
  </si>
  <si>
    <t>Изготовление метал.качелей</t>
  </si>
  <si>
    <t>ЦПС универсальнюГРАНИТ</t>
  </si>
  <si>
    <t>метла</t>
  </si>
  <si>
    <t>Дератизация</t>
  </si>
  <si>
    <t>проверка продухов в  подвале</t>
  </si>
  <si>
    <t>Остаток  на 01.07.2017г.</t>
  </si>
  <si>
    <t>Установка 2-х нгаружных светильников</t>
  </si>
  <si>
    <t>Остаток  на 01.01.2017г.</t>
  </si>
  <si>
    <t>Итого 2016г.</t>
  </si>
  <si>
    <t>ОТЧЕТ</t>
  </si>
  <si>
    <t>о выполненных работах  за 2016г.</t>
  </si>
  <si>
    <t>Установка 2-х светильника на движение</t>
  </si>
  <si>
    <t>Ул.Карла Маркса,58</t>
  </si>
  <si>
    <t>Оплата электрику</t>
  </si>
  <si>
    <t>Знак опасность</t>
  </si>
  <si>
    <t>Изготовление актов раграничений</t>
  </si>
  <si>
    <t>Проведение испытаний и измерений в электроуст.</t>
  </si>
  <si>
    <t>Краска на трансформаторэл/счетчиков</t>
  </si>
  <si>
    <t>Проведение тех.обоснов. Эл/измере.и заземл.устр</t>
  </si>
  <si>
    <t>Подготовка к аттестации электрика</t>
  </si>
  <si>
    <t xml:space="preserve">Кисть радиатонная                                       </t>
  </si>
  <si>
    <t>Замена трансформаторов тока</t>
  </si>
  <si>
    <r>
      <t>% УПК ООО"Райкоммунсбыт</t>
    </r>
    <r>
      <rPr>
        <b/>
        <sz val="10"/>
        <rFont val="Arial Cyr"/>
        <family val="2"/>
      </rPr>
      <t>"</t>
    </r>
  </si>
  <si>
    <t>Проверка продухов подвальн.помещений</t>
  </si>
  <si>
    <t>площадь 488,5кв.м</t>
  </si>
  <si>
    <t>Кисть радиатоная</t>
  </si>
  <si>
    <t>Проверка продухов подвальных помещений</t>
  </si>
  <si>
    <t>Прокладка вводного эл.кабеля в подьезде дома</t>
  </si>
  <si>
    <t>ул.Шоссейная,67</t>
  </si>
  <si>
    <t>проведение испытаний и измерений</t>
  </si>
  <si>
    <t>Мешки,перчатки</t>
  </si>
  <si>
    <t>Изгот,перил на входные двери</t>
  </si>
  <si>
    <t>ул.Карла Маркса,73</t>
  </si>
  <si>
    <t>Установка 6 светильников</t>
  </si>
  <si>
    <t>Саморезы, шпингалет</t>
  </si>
  <si>
    <t>Вырезка,установка 5 оконных стекл</t>
  </si>
  <si>
    <t>Установка 2-х доводчиков и одной дверной ручки</t>
  </si>
  <si>
    <t>Реконструкция системы гвс</t>
  </si>
  <si>
    <t>Материалы для реконстр. системы ГВС</t>
  </si>
  <si>
    <t>Контроль показаний общ.приборов учета</t>
  </si>
  <si>
    <t>Проверка продухов подв.помещений</t>
  </si>
  <si>
    <t>Уборщица лесничных площадок</t>
  </si>
  <si>
    <t>Демонтаж разбитого стекла</t>
  </si>
  <si>
    <r>
      <t>% УПК ООО"Райкоммунсбыт</t>
    </r>
    <r>
      <rPr>
        <b/>
        <sz val="9"/>
        <rFont val="Arial Cyr"/>
        <family val="2"/>
      </rPr>
      <t>"</t>
    </r>
  </si>
  <si>
    <t>Ремонт схода в подвал</t>
  </si>
  <si>
    <t>Обрезка и валка деревьев</t>
  </si>
  <si>
    <t>Ремонт малых метал.форм</t>
  </si>
  <si>
    <t>Подготовка и аттестация электрика</t>
  </si>
  <si>
    <t>Расходомер электромагнитный</t>
  </si>
  <si>
    <t>Кисть радиатонная</t>
  </si>
  <si>
    <t>Проверка подвальных продухов</t>
  </si>
  <si>
    <t>Оплата за работу электрику</t>
  </si>
  <si>
    <t>Остаток  на 01.01.2017г..</t>
  </si>
  <si>
    <t>Иготовление актов раграничений</t>
  </si>
  <si>
    <t>Подготовка и аттесиация электрика</t>
  </si>
  <si>
    <t>Краска радиатоная</t>
  </si>
  <si>
    <r>
      <t>% УПК ООО"Райкоммунсбыт</t>
    </r>
    <r>
      <rPr>
        <b/>
        <sz val="10"/>
        <rFont val="Arial Cyr"/>
        <family val="0"/>
      </rPr>
      <t>"</t>
    </r>
  </si>
  <si>
    <t>Установка 3-х светильников с дачик.на движение</t>
  </si>
  <si>
    <t>Подготоака и  аттестация электрика</t>
  </si>
  <si>
    <t>Светильники</t>
  </si>
  <si>
    <t>Проверка продухов подвальных поиещений</t>
  </si>
  <si>
    <t>Благоустройство двора (краска)</t>
  </si>
  <si>
    <t>Оплата за выполн.работу электрику</t>
  </si>
  <si>
    <t>испытание эл/оборудования</t>
  </si>
  <si>
    <t>ремонт подьездов</t>
  </si>
  <si>
    <t>Оплата за выполн.работы электрику</t>
  </si>
  <si>
    <t>Ремонт подъездов</t>
  </si>
  <si>
    <t>Остекление форточки</t>
  </si>
  <si>
    <t>Светильник</t>
  </si>
  <si>
    <t>Краска на трансформатор.эл/счетчиков</t>
  </si>
  <si>
    <t>испытание электооборудования</t>
  </si>
  <si>
    <t>Проведение тех.обоснов. эл/измере.и заземл.устр</t>
  </si>
  <si>
    <t>Замена эл/распред. щита в подьезде №1</t>
  </si>
  <si>
    <t>Изготовление метал. люка для лотка в подьезде</t>
  </si>
  <si>
    <t>Установка светодиодных светильников</t>
  </si>
  <si>
    <t>Краска на трансформатор  эл/счетчиков</t>
  </si>
  <si>
    <t>испытание электрооборудования</t>
  </si>
  <si>
    <t>Кисть радиотоная</t>
  </si>
  <si>
    <t>Поведение испытаний и измерений в электроуст.</t>
  </si>
  <si>
    <t>Преобретение насоса</t>
  </si>
  <si>
    <t>Монтаж утепляющ.щитов и рам в продухах подв.помещ</t>
  </si>
  <si>
    <t>Преобретение метлы для дворника</t>
  </si>
  <si>
    <t>Гвозди, пена,щлифлист</t>
  </si>
  <si>
    <t>Оплата электрику за выполненные работы</t>
  </si>
  <si>
    <t>Установка пластиновых окон</t>
  </si>
  <si>
    <t>Ремонт насоса на обратном трубопроводе</t>
  </si>
  <si>
    <t>Аттестация электрика</t>
  </si>
  <si>
    <t>Установка прибора учета эл/энергии в поиещ.ВРУ</t>
  </si>
  <si>
    <t>Ремонт кровли дома шифером</t>
  </si>
  <si>
    <t>Мешки, перчатки</t>
  </si>
  <si>
    <t>Резетка,кабель</t>
  </si>
  <si>
    <t>Установка светодеодных светильников</t>
  </si>
  <si>
    <t>Зашивка пиломатериалом подвольн.продухов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</si>
</sst>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[$-FC19]d\ mmmm\ yyyy\ &quot;г.&quot;"/>
  </numFmts>
  <fonts count="43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8"/>
      <name val="Arial Cyr"/>
      <family val="2"/>
    </font>
    <font>
      <b/>
      <i/>
      <sz val="12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/>
    </xf>
    <xf numFmtId="10" fontId="2" fillId="33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10" fontId="3" fillId="33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2" fillId="36" borderId="10" xfId="0" applyFont="1" applyFill="1" applyBorder="1" applyAlignment="1">
      <alignment/>
    </xf>
    <xf numFmtId="0" fontId="3" fillId="37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2" fontId="3" fillId="37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/>
    </xf>
    <xf numFmtId="0" fontId="3" fillId="38" borderId="10" xfId="0" applyFont="1" applyFill="1" applyBorder="1" applyAlignment="1">
      <alignment/>
    </xf>
    <xf numFmtId="0" fontId="2" fillId="38" borderId="10" xfId="0" applyFont="1" applyFill="1" applyBorder="1" applyAlignment="1">
      <alignment/>
    </xf>
    <xf numFmtId="0" fontId="2" fillId="38" borderId="0" xfId="0" applyFont="1" applyFill="1" applyAlignment="1">
      <alignment/>
    </xf>
    <xf numFmtId="0" fontId="3" fillId="38" borderId="0" xfId="0" applyFont="1" applyFill="1" applyAlignment="1">
      <alignment/>
    </xf>
    <xf numFmtId="0" fontId="3" fillId="35" borderId="10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2" fillId="40" borderId="10" xfId="0" applyFont="1" applyFill="1" applyBorder="1" applyAlignment="1">
      <alignment/>
    </xf>
    <xf numFmtId="0" fontId="2" fillId="41" borderId="10" xfId="0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42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0" xfId="0" applyFont="1" applyFill="1" applyAlignment="1">
      <alignment/>
    </xf>
    <xf numFmtId="0" fontId="5" fillId="38" borderId="0" xfId="0" applyFont="1" applyFill="1" applyAlignment="1">
      <alignment/>
    </xf>
    <xf numFmtId="10" fontId="0" fillId="33" borderId="10" xfId="0" applyNumberFormat="1" applyFont="1" applyFill="1" applyBorder="1" applyAlignment="1">
      <alignment/>
    </xf>
    <xf numFmtId="164" fontId="5" fillId="33" borderId="10" xfId="0" applyNumberFormat="1" applyFont="1" applyFill="1" applyBorder="1" applyAlignment="1">
      <alignment/>
    </xf>
    <xf numFmtId="10" fontId="5" fillId="33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0" fillId="36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2" fontId="5" fillId="37" borderId="10" xfId="0" applyNumberFormat="1" applyFont="1" applyFill="1" applyBorder="1" applyAlignment="1">
      <alignment/>
    </xf>
    <xf numFmtId="0" fontId="0" fillId="33" borderId="12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40" borderId="10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0" fillId="41" borderId="12" xfId="0" applyFont="1" applyFill="1" applyBorder="1" applyAlignment="1">
      <alignment/>
    </xf>
    <xf numFmtId="0" fontId="5" fillId="41" borderId="0" xfId="0" applyFont="1" applyFill="1" applyBorder="1" applyAlignment="1">
      <alignment/>
    </xf>
    <xf numFmtId="0" fontId="5" fillId="33" borderId="1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7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7" fillId="35" borderId="10" xfId="0" applyFont="1" applyFill="1" applyBorder="1" applyAlignment="1">
      <alignment/>
    </xf>
    <xf numFmtId="0" fontId="6" fillId="38" borderId="10" xfId="0" applyFont="1" applyFill="1" applyBorder="1" applyAlignment="1">
      <alignment/>
    </xf>
    <xf numFmtId="0" fontId="7" fillId="38" borderId="10" xfId="0" applyFont="1" applyFill="1" applyBorder="1" applyAlignment="1">
      <alignment/>
    </xf>
    <xf numFmtId="0" fontId="7" fillId="38" borderId="0" xfId="0" applyFont="1" applyFill="1" applyAlignment="1">
      <alignment/>
    </xf>
    <xf numFmtId="0" fontId="6" fillId="38" borderId="0" xfId="0" applyFont="1" applyFill="1" applyAlignment="1">
      <alignment/>
    </xf>
    <xf numFmtId="10" fontId="7" fillId="33" borderId="10" xfId="0" applyNumberFormat="1" applyFont="1" applyFill="1" applyBorder="1" applyAlignment="1">
      <alignment/>
    </xf>
    <xf numFmtId="164" fontId="6" fillId="33" borderId="10" xfId="0" applyNumberFormat="1" applyFont="1" applyFill="1" applyBorder="1" applyAlignment="1">
      <alignment/>
    </xf>
    <xf numFmtId="10" fontId="6" fillId="33" borderId="10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7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7" fillId="36" borderId="10" xfId="0" applyFont="1" applyFill="1" applyBorder="1" applyAlignment="1">
      <alignment/>
    </xf>
    <xf numFmtId="0" fontId="7" fillId="39" borderId="10" xfId="0" applyFont="1" applyFill="1" applyBorder="1" applyAlignment="1">
      <alignment/>
    </xf>
    <xf numFmtId="0" fontId="6" fillId="37" borderId="16" xfId="0" applyFont="1" applyFill="1" applyBorder="1" applyAlignment="1">
      <alignment/>
    </xf>
    <xf numFmtId="0" fontId="7" fillId="37" borderId="16" xfId="0" applyFont="1" applyFill="1" applyBorder="1" applyAlignment="1">
      <alignment/>
    </xf>
    <xf numFmtId="2" fontId="6" fillId="37" borderId="16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left" vertical="center" wrapText="1"/>
    </xf>
    <xf numFmtId="0" fontId="6" fillId="37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0" fillId="35" borderId="10" xfId="0" applyFont="1" applyFill="1" applyBorder="1" applyAlignment="1">
      <alignment/>
    </xf>
    <xf numFmtId="10" fontId="0" fillId="33" borderId="10" xfId="0" applyNumberFormat="1" applyFont="1" applyFill="1" applyBorder="1" applyAlignment="1">
      <alignment/>
    </xf>
    <xf numFmtId="164" fontId="5" fillId="33" borderId="10" xfId="0" applyNumberFormat="1" applyFont="1" applyFill="1" applyBorder="1" applyAlignment="1">
      <alignment/>
    </xf>
    <xf numFmtId="10" fontId="5" fillId="33" borderId="1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0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0" fillId="36" borderId="10" xfId="0" applyFont="1" applyFill="1" applyBorder="1" applyAlignment="1">
      <alignment/>
    </xf>
    <xf numFmtId="0" fontId="0" fillId="39" borderId="10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2" fontId="5" fillId="37" borderId="10" xfId="0" applyNumberFormat="1" applyFont="1" applyFill="1" applyBorder="1" applyAlignment="1">
      <alignment/>
    </xf>
    <xf numFmtId="0" fontId="6" fillId="37" borderId="10" xfId="0" applyFont="1" applyFill="1" applyBorder="1" applyAlignment="1">
      <alignment/>
    </xf>
    <xf numFmtId="0" fontId="7" fillId="37" borderId="10" xfId="0" applyFont="1" applyFill="1" applyBorder="1" applyAlignment="1">
      <alignment/>
    </xf>
    <xf numFmtId="2" fontId="6" fillId="37" borderId="10" xfId="0" applyNumberFormat="1" applyFont="1" applyFill="1" applyBorder="1" applyAlignment="1">
      <alignment/>
    </xf>
    <xf numFmtId="0" fontId="7" fillId="37" borderId="0" xfId="0" applyFont="1" applyFill="1" applyBorder="1" applyAlignment="1">
      <alignment/>
    </xf>
    <xf numFmtId="2" fontId="6" fillId="37" borderId="0" xfId="0" applyNumberFormat="1" applyFont="1" applyFill="1" applyBorder="1" applyAlignment="1">
      <alignment/>
    </xf>
    <xf numFmtId="0" fontId="6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/>
    </xf>
    <xf numFmtId="2" fontId="7" fillId="37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/>
    </xf>
    <xf numFmtId="0" fontId="7" fillId="40" borderId="16" xfId="0" applyFont="1" applyFill="1" applyBorder="1" applyAlignment="1">
      <alignment/>
    </xf>
    <xf numFmtId="0" fontId="7" fillId="41" borderId="0" xfId="0" applyFont="1" applyFill="1" applyBorder="1" applyAlignment="1">
      <alignment/>
    </xf>
    <xf numFmtId="0" fontId="6" fillId="41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7" fillId="33" borderId="19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5" xfId="0" applyFont="1" applyFill="1" applyBorder="1" applyAlignment="1">
      <alignment horizontal="center" vertical="center" wrapText="1"/>
    </xf>
    <xf numFmtId="2" fontId="7" fillId="35" borderId="0" xfId="0" applyNumberFormat="1" applyFont="1" applyFill="1" applyAlignment="1">
      <alignment/>
    </xf>
    <xf numFmtId="0" fontId="7" fillId="43" borderId="10" xfId="0" applyFont="1" applyFill="1" applyBorder="1" applyAlignment="1">
      <alignment/>
    </xf>
    <xf numFmtId="0" fontId="6" fillId="35" borderId="12" xfId="0" applyFont="1" applyFill="1" applyBorder="1" applyAlignment="1">
      <alignment/>
    </xf>
    <xf numFmtId="2" fontId="6" fillId="35" borderId="12" xfId="0" applyNumberFormat="1" applyFont="1" applyFill="1" applyBorder="1" applyAlignment="1">
      <alignment/>
    </xf>
    <xf numFmtId="0" fontId="6" fillId="37" borderId="13" xfId="0" applyFont="1" applyFill="1" applyBorder="1" applyAlignment="1">
      <alignment/>
    </xf>
    <xf numFmtId="0" fontId="7" fillId="37" borderId="13" xfId="0" applyFont="1" applyFill="1" applyBorder="1" applyAlignment="1">
      <alignment/>
    </xf>
    <xf numFmtId="0" fontId="7" fillId="44" borderId="13" xfId="0" applyFont="1" applyFill="1" applyBorder="1" applyAlignment="1">
      <alignment/>
    </xf>
    <xf numFmtId="2" fontId="7" fillId="37" borderId="13" xfId="0" applyNumberFormat="1" applyFont="1" applyFill="1" applyBorder="1" applyAlignment="1">
      <alignment/>
    </xf>
    <xf numFmtId="2" fontId="6" fillId="37" borderId="13" xfId="0" applyNumberFormat="1" applyFont="1" applyFill="1" applyBorder="1" applyAlignment="1">
      <alignment/>
    </xf>
    <xf numFmtId="0" fontId="7" fillId="45" borderId="10" xfId="0" applyFont="1" applyFill="1" applyBorder="1" applyAlignment="1">
      <alignment/>
    </xf>
    <xf numFmtId="2" fontId="7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/>
    </xf>
    <xf numFmtId="0" fontId="6" fillId="45" borderId="10" xfId="0" applyFont="1" applyFill="1" applyBorder="1" applyAlignment="1">
      <alignment/>
    </xf>
    <xf numFmtId="2" fontId="6" fillId="33" borderId="11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7" fillId="44" borderId="10" xfId="0" applyFont="1" applyFill="1" applyBorder="1" applyAlignment="1">
      <alignment/>
    </xf>
    <xf numFmtId="0" fontId="7" fillId="40" borderId="10" xfId="0" applyFont="1" applyFill="1" applyBorder="1" applyAlignment="1">
      <alignment/>
    </xf>
    <xf numFmtId="0" fontId="7" fillId="41" borderId="10" xfId="0" applyFont="1" applyFill="1" applyBorder="1" applyAlignment="1">
      <alignment/>
    </xf>
    <xf numFmtId="0" fontId="7" fillId="45" borderId="12" xfId="0" applyFont="1" applyFill="1" applyBorder="1" applyAlignment="1">
      <alignment/>
    </xf>
    <xf numFmtId="0" fontId="7" fillId="41" borderId="12" xfId="0" applyFont="1" applyFill="1" applyBorder="1" applyAlignment="1">
      <alignment/>
    </xf>
    <xf numFmtId="0" fontId="6" fillId="45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3DEB3D"/>
      <rgbColor rgb="00E6E64C"/>
      <rgbColor rgb="00FF9900"/>
      <rgbColor rgb="00FF6600"/>
      <rgbColor rgb="0099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8"/>
  <sheetViews>
    <sheetView zoomScalePageLayoutView="0" workbookViewId="0" topLeftCell="A1">
      <pane xSplit="1" ySplit="5" topLeftCell="B4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IV16384"/>
    </sheetView>
  </sheetViews>
  <sheetFormatPr defaultColWidth="26.75390625" defaultRowHeight="12.75"/>
  <cols>
    <col min="1" max="1" width="47.875" style="86" customWidth="1"/>
    <col min="2" max="2" width="8.625" style="86" hidden="1" customWidth="1"/>
    <col min="3" max="4" width="9.375" style="86" hidden="1" customWidth="1"/>
    <col min="5" max="5" width="10.25390625" style="86" hidden="1" customWidth="1"/>
    <col min="6" max="6" width="9.125" style="86" hidden="1" customWidth="1"/>
    <col min="7" max="7" width="9.00390625" style="86" hidden="1" customWidth="1"/>
    <col min="8" max="8" width="8.875" style="86" hidden="1" customWidth="1"/>
    <col min="9" max="9" width="9.25390625" style="86" hidden="1" customWidth="1"/>
    <col min="10" max="10" width="11.25390625" style="86" hidden="1" customWidth="1"/>
    <col min="11" max="11" width="9.75390625" style="86" hidden="1" customWidth="1"/>
    <col min="12" max="12" width="8.75390625" style="86" hidden="1" customWidth="1"/>
    <col min="13" max="13" width="9.25390625" style="86" hidden="1" customWidth="1"/>
    <col min="14" max="14" width="9.25390625" style="87" customWidth="1"/>
    <col min="15" max="15" width="7.625" style="86" customWidth="1"/>
    <col min="16" max="23" width="26.75390625" style="86" customWidth="1"/>
    <col min="24" max="24" width="26.75390625" style="87" customWidth="1"/>
    <col min="25" max="16384" width="26.75390625" style="86" customWidth="1"/>
  </cols>
  <sheetData>
    <row r="1" spans="1:15" ht="12">
      <c r="A1" s="194" t="s">
        <v>151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85"/>
    </row>
    <row r="2" spans="1:15" ht="12">
      <c r="A2" s="194" t="s">
        <v>152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85"/>
    </row>
    <row r="3" spans="1:14" ht="12">
      <c r="A3" s="195" t="s">
        <v>114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ht="12" hidden="1"/>
    <row r="5" spans="1:14" ht="24">
      <c r="A5" s="160" t="s">
        <v>166</v>
      </c>
      <c r="B5" s="93" t="s">
        <v>0</v>
      </c>
      <c r="C5" s="93" t="s">
        <v>1</v>
      </c>
      <c r="D5" s="93" t="s">
        <v>2</v>
      </c>
      <c r="E5" s="93" t="s">
        <v>3</v>
      </c>
      <c r="F5" s="93" t="s">
        <v>4</v>
      </c>
      <c r="G5" s="93" t="s">
        <v>5</v>
      </c>
      <c r="H5" s="93" t="s">
        <v>6</v>
      </c>
      <c r="I5" s="93" t="s">
        <v>7</v>
      </c>
      <c r="J5" s="93" t="s">
        <v>8</v>
      </c>
      <c r="K5" s="93" t="s">
        <v>9</v>
      </c>
      <c r="L5" s="93" t="s">
        <v>10</v>
      </c>
      <c r="M5" s="93" t="s">
        <v>11</v>
      </c>
      <c r="N5" s="92" t="s">
        <v>150</v>
      </c>
    </row>
    <row r="6" spans="1:14" ht="12" hidden="1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</row>
    <row r="7" spans="1:14" ht="12">
      <c r="A7" s="94" t="s">
        <v>43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4"/>
    </row>
    <row r="8" spans="1:14" ht="12">
      <c r="A8" s="93" t="s">
        <v>13</v>
      </c>
      <c r="B8" s="93">
        <v>-6016.06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>
        <f>B8+C8+D8+E8+F8+G8+H8+I8+J8+K8+L8+M8</f>
        <v>-6016.06</v>
      </c>
    </row>
    <row r="9" spans="1:14" s="87" customFormat="1" ht="12">
      <c r="A9" s="94" t="s">
        <v>16</v>
      </c>
      <c r="B9" s="94">
        <f>B8</f>
        <v>-6016.06</v>
      </c>
      <c r="C9" s="94">
        <f aca="true" t="shared" si="0" ref="C9:H9">B71</f>
        <v>-11174.710000000001</v>
      </c>
      <c r="D9" s="94">
        <f t="shared" si="0"/>
        <v>-19453.08</v>
      </c>
      <c r="E9" s="94">
        <f t="shared" si="0"/>
        <v>-20988.72</v>
      </c>
      <c r="F9" s="94">
        <f t="shared" si="0"/>
        <v>-22570.58</v>
      </c>
      <c r="G9" s="94">
        <f t="shared" si="0"/>
        <v>-27833.25</v>
      </c>
      <c r="H9" s="94">
        <f t="shared" si="0"/>
        <v>-27529.34</v>
      </c>
      <c r="I9" s="94">
        <f>H71</f>
        <v>-23931.57</v>
      </c>
      <c r="J9" s="94">
        <f>I71</f>
        <v>-23260.91</v>
      </c>
      <c r="K9" s="94">
        <f>J71</f>
        <v>-24081.72</v>
      </c>
      <c r="L9" s="94">
        <f>K71</f>
        <v>-16514.11</v>
      </c>
      <c r="M9" s="94">
        <f>L71</f>
        <v>-14091.25</v>
      </c>
      <c r="N9" s="94">
        <f>N8</f>
        <v>-6016.06</v>
      </c>
    </row>
    <row r="10" spans="1:14" ht="12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4"/>
    </row>
    <row r="11" spans="1:24" s="97" customFormat="1" ht="12">
      <c r="A11" s="95" t="s">
        <v>17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5"/>
      <c r="X11" s="98"/>
    </row>
    <row r="12" spans="1:24" s="97" customFormat="1" ht="12">
      <c r="A12" s="96" t="s">
        <v>13</v>
      </c>
      <c r="B12" s="96">
        <v>9188.71</v>
      </c>
      <c r="C12" s="96">
        <v>9188.71</v>
      </c>
      <c r="D12" s="96">
        <v>9188.71</v>
      </c>
      <c r="E12" s="96">
        <v>9188.71</v>
      </c>
      <c r="F12" s="96">
        <v>9188.71</v>
      </c>
      <c r="G12" s="96">
        <v>9188.71</v>
      </c>
      <c r="H12" s="96">
        <v>10019.16</v>
      </c>
      <c r="I12" s="96">
        <v>10019.16</v>
      </c>
      <c r="J12" s="96">
        <v>10019.16</v>
      </c>
      <c r="K12" s="96">
        <v>10019.16</v>
      </c>
      <c r="L12" s="96">
        <v>10019.16</v>
      </c>
      <c r="M12" s="96">
        <v>10019.16</v>
      </c>
      <c r="N12" s="96">
        <f>B12+C12+D12+E12+F12+G12+H12+I12+J12+K12+L12+M12</f>
        <v>115247.22000000002</v>
      </c>
      <c r="X12" s="98"/>
    </row>
    <row r="13" spans="1:24" s="97" customFormat="1" ht="12">
      <c r="A13" s="96" t="s">
        <v>218</v>
      </c>
      <c r="B13" s="96"/>
      <c r="C13" s="96"/>
      <c r="D13" s="96"/>
      <c r="E13" s="96"/>
      <c r="F13" s="96"/>
      <c r="G13" s="96"/>
      <c r="H13" s="96"/>
      <c r="I13" s="96"/>
      <c r="J13" s="96"/>
      <c r="K13" s="96">
        <v>5424.9</v>
      </c>
      <c r="L13" s="96"/>
      <c r="M13" s="96"/>
      <c r="N13" s="96">
        <f>B13+C13+D13+E13+F13+G13+H13+I13+J13+K13+L13+M13</f>
        <v>5424.9</v>
      </c>
      <c r="X13" s="98"/>
    </row>
    <row r="14" spans="1:14" s="98" customFormat="1" ht="12">
      <c r="A14" s="95" t="s">
        <v>16</v>
      </c>
      <c r="B14" s="95">
        <f aca="true" t="shared" si="1" ref="B14:M14">SUM(B10:B13)</f>
        <v>9188.71</v>
      </c>
      <c r="C14" s="95">
        <f t="shared" si="1"/>
        <v>9188.71</v>
      </c>
      <c r="D14" s="95">
        <f t="shared" si="1"/>
        <v>9188.71</v>
      </c>
      <c r="E14" s="95">
        <f t="shared" si="1"/>
        <v>9188.71</v>
      </c>
      <c r="F14" s="95">
        <f t="shared" si="1"/>
        <v>9188.71</v>
      </c>
      <c r="G14" s="95">
        <f t="shared" si="1"/>
        <v>9188.71</v>
      </c>
      <c r="H14" s="95">
        <f t="shared" si="1"/>
        <v>10019.16</v>
      </c>
      <c r="I14" s="95">
        <f t="shared" si="1"/>
        <v>10019.16</v>
      </c>
      <c r="J14" s="95">
        <f t="shared" si="1"/>
        <v>10019.16</v>
      </c>
      <c r="K14" s="95">
        <f t="shared" si="1"/>
        <v>15444.06</v>
      </c>
      <c r="L14" s="95">
        <f t="shared" si="1"/>
        <v>10019.16</v>
      </c>
      <c r="M14" s="95">
        <f t="shared" si="1"/>
        <v>10019.16</v>
      </c>
      <c r="N14" s="95">
        <f>B14+C14+D14+E14+F14+G14+H14+I14+J14+K14+L14+M14</f>
        <v>120672.12000000001</v>
      </c>
    </row>
    <row r="15" spans="1:14" ht="12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4"/>
    </row>
    <row r="16" spans="1:24" s="102" customFormat="1" ht="12">
      <c r="A16" s="100" t="s">
        <v>18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0"/>
      <c r="X16" s="103"/>
    </row>
    <row r="17" spans="1:24" s="102" customFormat="1" ht="12">
      <c r="A17" s="101" t="s">
        <v>13</v>
      </c>
      <c r="B17" s="101">
        <v>1269.19</v>
      </c>
      <c r="C17" s="101">
        <v>-330.94</v>
      </c>
      <c r="D17" s="101">
        <v>6269.33</v>
      </c>
      <c r="E17" s="101">
        <v>8110.46</v>
      </c>
      <c r="F17" s="101">
        <v>7344.28</v>
      </c>
      <c r="G17" s="101">
        <v>7232.59</v>
      </c>
      <c r="H17" s="101">
        <v>11676.17</v>
      </c>
      <c r="I17" s="101">
        <v>7724.79</v>
      </c>
      <c r="J17" s="101">
        <v>11145.12</v>
      </c>
      <c r="K17" s="101">
        <f>15020.98+375</f>
        <v>15395.98</v>
      </c>
      <c r="L17" s="101">
        <v>6872.45</v>
      </c>
      <c r="M17" s="101">
        <f>4476.94+263.07</f>
        <v>4740.009999999999</v>
      </c>
      <c r="N17" s="101">
        <f>B17+C17+D17+E17+F17+G17+H17+I17+J17+K17+L17+M17</f>
        <v>87449.43</v>
      </c>
      <c r="X17" s="103"/>
    </row>
    <row r="18" spans="1:24" s="102" customFormat="1" ht="12">
      <c r="A18" s="96" t="s">
        <v>218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>
        <v>2256.38</v>
      </c>
      <c r="M18" s="101">
        <f>3431.59-263.07</f>
        <v>3168.52</v>
      </c>
      <c r="N18" s="101">
        <f>B18+C18+D18+E18+F18+G18+H18+I18+J18+K18+L18+M18</f>
        <v>5424.9</v>
      </c>
      <c r="X18" s="103"/>
    </row>
    <row r="19" spans="1:14" s="103" customFormat="1" ht="12">
      <c r="A19" s="100" t="s">
        <v>16</v>
      </c>
      <c r="B19" s="100">
        <f aca="true" t="shared" si="2" ref="B19:N19">SUM(B17:B18)</f>
        <v>1269.19</v>
      </c>
      <c r="C19" s="100">
        <f t="shared" si="2"/>
        <v>-330.94</v>
      </c>
      <c r="D19" s="100">
        <f t="shared" si="2"/>
        <v>6269.33</v>
      </c>
      <c r="E19" s="100">
        <f t="shared" si="2"/>
        <v>8110.46</v>
      </c>
      <c r="F19" s="100">
        <f t="shared" si="2"/>
        <v>7344.28</v>
      </c>
      <c r="G19" s="100">
        <f t="shared" si="2"/>
        <v>7232.59</v>
      </c>
      <c r="H19" s="100">
        <f t="shared" si="2"/>
        <v>11676.17</v>
      </c>
      <c r="I19" s="100">
        <f t="shared" si="2"/>
        <v>7724.79</v>
      </c>
      <c r="J19" s="100">
        <f t="shared" si="2"/>
        <v>11145.12</v>
      </c>
      <c r="K19" s="100">
        <f t="shared" si="2"/>
        <v>15395.98</v>
      </c>
      <c r="L19" s="100">
        <f t="shared" si="2"/>
        <v>9128.83</v>
      </c>
      <c r="M19" s="100">
        <f t="shared" si="2"/>
        <v>7908.529999999999</v>
      </c>
      <c r="N19" s="100">
        <f t="shared" si="2"/>
        <v>92874.32999999999</v>
      </c>
    </row>
    <row r="20" spans="1:14" ht="12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4"/>
    </row>
    <row r="21" spans="1:14" ht="12">
      <c r="A21" s="94" t="s">
        <v>19</v>
      </c>
      <c r="B21" s="104">
        <f aca="true" t="shared" si="3" ref="B21:N21">B19/B14</f>
        <v>0.13812493810338994</v>
      </c>
      <c r="C21" s="104">
        <f t="shared" si="3"/>
        <v>-0.036015936948712066</v>
      </c>
      <c r="D21" s="104">
        <f t="shared" si="3"/>
        <v>0.6822861968655013</v>
      </c>
      <c r="E21" s="104">
        <f t="shared" si="3"/>
        <v>0.8826549102104649</v>
      </c>
      <c r="F21" s="104">
        <f t="shared" si="3"/>
        <v>0.799272150280072</v>
      </c>
      <c r="G21" s="104">
        <f t="shared" si="3"/>
        <v>0.787117016425592</v>
      </c>
      <c r="H21" s="104">
        <f t="shared" si="3"/>
        <v>1.1653841240183809</v>
      </c>
      <c r="I21" s="104">
        <f t="shared" si="3"/>
        <v>0.7710017606266394</v>
      </c>
      <c r="J21" s="104">
        <f t="shared" si="3"/>
        <v>1.1123806786197645</v>
      </c>
      <c r="K21" s="104">
        <f t="shared" si="3"/>
        <v>0.9968868289814984</v>
      </c>
      <c r="L21" s="104">
        <f t="shared" si="3"/>
        <v>0.9111372610079088</v>
      </c>
      <c r="M21" s="104">
        <f t="shared" si="3"/>
        <v>0.7893406233656314</v>
      </c>
      <c r="N21" s="105">
        <f t="shared" si="3"/>
        <v>0.7696419852406668</v>
      </c>
    </row>
    <row r="22" spans="1:14" ht="12">
      <c r="A22" s="9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6"/>
    </row>
    <row r="23" spans="1:14" ht="12">
      <c r="A23" s="94" t="s">
        <v>20</v>
      </c>
      <c r="B23" s="107">
        <f aca="true" t="shared" si="4" ref="B23:N23">B14-B19</f>
        <v>7919.519999999999</v>
      </c>
      <c r="C23" s="107">
        <f t="shared" si="4"/>
        <v>9519.65</v>
      </c>
      <c r="D23" s="107">
        <f t="shared" si="4"/>
        <v>2919.379999999999</v>
      </c>
      <c r="E23" s="107">
        <f t="shared" si="4"/>
        <v>1078.249999999999</v>
      </c>
      <c r="F23" s="107">
        <f t="shared" si="4"/>
        <v>1844.4299999999994</v>
      </c>
      <c r="G23" s="107">
        <f t="shared" si="4"/>
        <v>1956.119999999999</v>
      </c>
      <c r="H23" s="107">
        <f t="shared" si="4"/>
        <v>-1657.0100000000002</v>
      </c>
      <c r="I23" s="107">
        <f t="shared" si="4"/>
        <v>2294.37</v>
      </c>
      <c r="J23" s="107">
        <f t="shared" si="4"/>
        <v>-1125.960000000001</v>
      </c>
      <c r="K23" s="107">
        <f t="shared" si="4"/>
        <v>48.07999999999993</v>
      </c>
      <c r="L23" s="107">
        <f t="shared" si="4"/>
        <v>890.3299999999999</v>
      </c>
      <c r="M23" s="107">
        <f t="shared" si="4"/>
        <v>2110.630000000001</v>
      </c>
      <c r="N23" s="107">
        <f t="shared" si="4"/>
        <v>27797.790000000023</v>
      </c>
    </row>
    <row r="24" spans="1:14" ht="12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4"/>
    </row>
    <row r="25" spans="1:24" s="109" customFormat="1" ht="12">
      <c r="A25" s="108" t="s">
        <v>21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108"/>
      <c r="X25" s="110"/>
    </row>
    <row r="26" spans="1:24" s="109" customFormat="1" ht="12" hidden="1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108"/>
      <c r="X26" s="110"/>
    </row>
    <row r="27" spans="1:24" s="109" customFormat="1" ht="12">
      <c r="A27" s="99" t="s">
        <v>22</v>
      </c>
      <c r="B27" s="99">
        <v>235.87</v>
      </c>
      <c r="C27" s="99">
        <v>186.04</v>
      </c>
      <c r="D27" s="99">
        <v>463.54</v>
      </c>
      <c r="E27" s="99">
        <f>255.1+52.42</f>
        <v>307.52</v>
      </c>
      <c r="F27" s="99">
        <v>1688.1</v>
      </c>
      <c r="G27" s="99">
        <f>190.09+37.05</f>
        <v>227.14</v>
      </c>
      <c r="H27" s="99">
        <v>269.36</v>
      </c>
      <c r="I27" s="99">
        <v>274.95</v>
      </c>
      <c r="J27" s="99">
        <v>246.08</v>
      </c>
      <c r="K27" s="99">
        <v>343.62</v>
      </c>
      <c r="L27" s="99">
        <v>111.11</v>
      </c>
      <c r="M27" s="99">
        <f>291.76-200</f>
        <v>91.75999999999999</v>
      </c>
      <c r="N27" s="99">
        <f>B27+C27+D27+E27+F27+G27+H27+I27+J27+K27+L27+M27</f>
        <v>4445.089999999999</v>
      </c>
      <c r="X27" s="110"/>
    </row>
    <row r="28" spans="1:24" s="109" customFormat="1" ht="12">
      <c r="A28" s="99" t="s">
        <v>185</v>
      </c>
      <c r="B28" s="99">
        <v>3234.42</v>
      </c>
      <c r="C28" s="99">
        <v>3234.42</v>
      </c>
      <c r="D28" s="99">
        <v>3234.42</v>
      </c>
      <c r="E28" s="99">
        <v>3234.42</v>
      </c>
      <c r="F28" s="99">
        <v>3234.42</v>
      </c>
      <c r="G28" s="99">
        <v>3234.42</v>
      </c>
      <c r="H28" s="99">
        <v>3234.42</v>
      </c>
      <c r="I28" s="99">
        <v>3347.52</v>
      </c>
      <c r="J28" s="99">
        <v>3409.73</v>
      </c>
      <c r="K28" s="99">
        <v>3409.73</v>
      </c>
      <c r="L28" s="99">
        <v>3409.73</v>
      </c>
      <c r="M28" s="99">
        <v>3409.73</v>
      </c>
      <c r="N28" s="99">
        <f aca="true" t="shared" si="5" ref="N28:N68">B28+C28+D28+E28+F28+G28+H28+I28+J28+K28+L28+M28</f>
        <v>39627.38000000001</v>
      </c>
      <c r="X28" s="110"/>
    </row>
    <row r="29" spans="1:24" s="109" customFormat="1" ht="12">
      <c r="A29" s="99" t="s">
        <v>31</v>
      </c>
      <c r="B29" s="99">
        <f>488.5+401.7</f>
        <v>890.2</v>
      </c>
      <c r="C29" s="99">
        <f>488.5+778.12</f>
        <v>1266.62</v>
      </c>
      <c r="D29" s="99">
        <f>488.5+755.57</f>
        <v>1244.0700000000002</v>
      </c>
      <c r="E29" s="99">
        <v>280.12</v>
      </c>
      <c r="F29" s="99">
        <v>280.12</v>
      </c>
      <c r="G29" s="99">
        <v>280.12</v>
      </c>
      <c r="H29" s="99">
        <v>948.03</v>
      </c>
      <c r="I29" s="99">
        <v>725.04</v>
      </c>
      <c r="J29" s="99">
        <v>725.04</v>
      </c>
      <c r="K29" s="99">
        <f>725.04+488.54</f>
        <v>1213.58</v>
      </c>
      <c r="L29" s="99">
        <v>725.04</v>
      </c>
      <c r="M29" s="99">
        <v>725.04</v>
      </c>
      <c r="N29" s="99">
        <f>B29+C29+D29+E29+F29+G29+H29+I29+J29+K29+L29+M29+370.47</f>
        <v>9673.49</v>
      </c>
      <c r="X29" s="110"/>
    </row>
    <row r="30" spans="1:24" s="109" customFormat="1" ht="12">
      <c r="A30" s="99" t="s">
        <v>32</v>
      </c>
      <c r="B30" s="99">
        <v>910.58</v>
      </c>
      <c r="C30" s="99">
        <v>1815.69</v>
      </c>
      <c r="D30" s="99">
        <f>898.42+917.27</f>
        <v>1815.69</v>
      </c>
      <c r="E30" s="99">
        <f>992.76+792.45</f>
        <v>1785.21</v>
      </c>
      <c r="F30" s="99">
        <f>987.56+792.45</f>
        <v>1780.01</v>
      </c>
      <c r="G30" s="99">
        <f>889.14+896.06</f>
        <v>1785.1999999999998</v>
      </c>
      <c r="H30" s="99">
        <v>1785.2</v>
      </c>
      <c r="I30" s="99">
        <v>1296.66</v>
      </c>
      <c r="J30" s="99">
        <f>488.54+778+1007.2</f>
        <v>2273.74</v>
      </c>
      <c r="K30" s="99">
        <v>1296.66</v>
      </c>
      <c r="L30" s="99">
        <v>1044.25</v>
      </c>
      <c r="M30" s="99">
        <f>926.19+740.95+859.01</f>
        <v>2526.15</v>
      </c>
      <c r="N30" s="99">
        <f t="shared" si="5"/>
        <v>20115.040000000005</v>
      </c>
      <c r="X30" s="110"/>
    </row>
    <row r="31" spans="1:24" s="109" customFormat="1" ht="12" hidden="1">
      <c r="A31" s="99" t="s">
        <v>26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>
        <f t="shared" si="5"/>
        <v>0</v>
      </c>
      <c r="X31" s="110"/>
    </row>
    <row r="32" spans="1:24" s="109" customFormat="1" ht="12">
      <c r="A32" s="111" t="s">
        <v>33</v>
      </c>
      <c r="B32" s="99">
        <v>10.71</v>
      </c>
      <c r="C32" s="99">
        <v>10.71</v>
      </c>
      <c r="D32" s="99">
        <v>10.71</v>
      </c>
      <c r="E32" s="99">
        <v>10.71</v>
      </c>
      <c r="F32" s="99">
        <v>10.71</v>
      </c>
      <c r="G32" s="99">
        <v>10.71</v>
      </c>
      <c r="H32" s="99">
        <v>10.71</v>
      </c>
      <c r="I32" s="99">
        <v>10.71</v>
      </c>
      <c r="J32" s="99">
        <v>10.71</v>
      </c>
      <c r="K32" s="99">
        <v>10.71</v>
      </c>
      <c r="L32" s="99">
        <v>10.71</v>
      </c>
      <c r="M32" s="99">
        <v>10.71</v>
      </c>
      <c r="N32" s="99">
        <f t="shared" si="5"/>
        <v>128.52000000000004</v>
      </c>
      <c r="X32" s="110"/>
    </row>
    <row r="33" spans="1:24" s="109" customFormat="1" ht="12" hidden="1">
      <c r="A33" s="99" t="s">
        <v>34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>
        <f t="shared" si="5"/>
        <v>0</v>
      </c>
      <c r="X33" s="110"/>
    </row>
    <row r="34" spans="1:24" s="109" customFormat="1" ht="12" hidden="1">
      <c r="A34" s="99" t="s">
        <v>30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>
        <f t="shared" si="5"/>
        <v>0</v>
      </c>
      <c r="X34" s="110"/>
    </row>
    <row r="35" spans="1:24" s="109" customFormat="1" ht="12">
      <c r="A35" s="99" t="s">
        <v>36</v>
      </c>
      <c r="B35" s="99">
        <v>620.4</v>
      </c>
      <c r="C35" s="99">
        <v>620.4</v>
      </c>
      <c r="D35" s="99">
        <v>620.4</v>
      </c>
      <c r="E35" s="99">
        <v>620.4</v>
      </c>
      <c r="F35" s="99">
        <v>620.4</v>
      </c>
      <c r="G35" s="99">
        <v>365.12</v>
      </c>
      <c r="H35" s="99">
        <f>737.36+270.28</f>
        <v>1007.64</v>
      </c>
      <c r="I35" s="99">
        <v>659.47</v>
      </c>
      <c r="J35" s="99">
        <f>408.67+250.81</f>
        <v>659.48</v>
      </c>
      <c r="K35" s="99">
        <f>445.61+213.87</f>
        <v>659.48</v>
      </c>
      <c r="L35" s="99">
        <f>632.24+227.23</f>
        <v>859.47</v>
      </c>
      <c r="M35" s="99">
        <f>459.71+199.76</f>
        <v>659.47</v>
      </c>
      <c r="N35" s="99">
        <f t="shared" si="5"/>
        <v>7972.130000000001</v>
      </c>
      <c r="X35" s="110"/>
    </row>
    <row r="36" spans="1:24" s="109" customFormat="1" ht="12">
      <c r="A36" s="99" t="s">
        <v>35</v>
      </c>
      <c r="B36" s="99">
        <v>141.67</v>
      </c>
      <c r="C36" s="99">
        <v>141.67</v>
      </c>
      <c r="D36" s="99">
        <v>141.67</v>
      </c>
      <c r="E36" s="99">
        <v>141.67</v>
      </c>
      <c r="F36" s="99">
        <v>141.67</v>
      </c>
      <c r="G36" s="99">
        <v>141.67</v>
      </c>
      <c r="H36" s="99">
        <v>170.98</v>
      </c>
      <c r="I36" s="99">
        <v>170.98</v>
      </c>
      <c r="J36" s="99">
        <v>170.98</v>
      </c>
      <c r="K36" s="99">
        <v>170.98</v>
      </c>
      <c r="L36" s="99">
        <v>170.98</v>
      </c>
      <c r="M36" s="99">
        <v>170.98</v>
      </c>
      <c r="N36" s="99">
        <f t="shared" si="5"/>
        <v>1875.8999999999999</v>
      </c>
      <c r="X36" s="110"/>
    </row>
    <row r="37" spans="1:24" s="109" customFormat="1" ht="12">
      <c r="A37" s="99" t="s">
        <v>29</v>
      </c>
      <c r="B37" s="99">
        <v>97.68</v>
      </c>
      <c r="C37" s="99">
        <v>282.98</v>
      </c>
      <c r="D37" s="99">
        <v>83.29</v>
      </c>
      <c r="E37" s="99">
        <v>165.21</v>
      </c>
      <c r="F37" s="99"/>
      <c r="G37" s="99">
        <v>100.59</v>
      </c>
      <c r="H37" s="99">
        <v>100.59</v>
      </c>
      <c r="I37" s="99">
        <f>100.58+20.12</f>
        <v>120.7</v>
      </c>
      <c r="J37" s="99">
        <v>159.41</v>
      </c>
      <c r="K37" s="99">
        <v>178.82</v>
      </c>
      <c r="L37" s="99">
        <v>178.82</v>
      </c>
      <c r="M37" s="99">
        <v>101.91</v>
      </c>
      <c r="N37" s="99">
        <f t="shared" si="5"/>
        <v>1570.0000000000002</v>
      </c>
      <c r="X37" s="110"/>
    </row>
    <row r="38" spans="1:24" s="109" customFormat="1" ht="12" hidden="1">
      <c r="A38" s="99" t="s">
        <v>39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>
        <f t="shared" si="5"/>
        <v>0</v>
      </c>
      <c r="X38" s="110"/>
    </row>
    <row r="39" spans="1:24" s="109" customFormat="1" ht="12">
      <c r="A39" s="99" t="s">
        <v>40</v>
      </c>
      <c r="B39" s="99"/>
      <c r="C39" s="99"/>
      <c r="D39" s="99"/>
      <c r="E39" s="99"/>
      <c r="F39" s="99"/>
      <c r="G39" s="99">
        <v>216.27</v>
      </c>
      <c r="H39" s="99">
        <v>216.27</v>
      </c>
      <c r="I39" s="99">
        <v>216.27</v>
      </c>
      <c r="J39" s="99"/>
      <c r="K39" s="99"/>
      <c r="L39" s="99"/>
      <c r="M39" s="99"/>
      <c r="N39" s="99">
        <f t="shared" si="5"/>
        <v>648.8100000000001</v>
      </c>
      <c r="X39" s="110"/>
    </row>
    <row r="40" spans="1:24" s="109" customFormat="1" ht="12">
      <c r="A40" s="99" t="s">
        <v>41</v>
      </c>
      <c r="B40" s="99"/>
      <c r="C40" s="99"/>
      <c r="D40" s="99"/>
      <c r="E40" s="99"/>
      <c r="F40" s="99">
        <v>3663.75</v>
      </c>
      <c r="G40" s="99">
        <v>30</v>
      </c>
      <c r="H40" s="99"/>
      <c r="I40" s="99"/>
      <c r="J40" s="99"/>
      <c r="K40" s="99"/>
      <c r="L40" s="99"/>
      <c r="M40" s="99"/>
      <c r="N40" s="99">
        <f t="shared" si="5"/>
        <v>3693.75</v>
      </c>
      <c r="X40" s="110"/>
    </row>
    <row r="41" spans="1:24" s="109" customFormat="1" ht="12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X41" s="110"/>
    </row>
    <row r="42" spans="1:24" s="109" customFormat="1" ht="12">
      <c r="A42" s="108" t="s">
        <v>42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X42" s="110"/>
    </row>
    <row r="43" spans="1:24" s="109" customFormat="1" ht="12">
      <c r="A43" s="99" t="s">
        <v>45</v>
      </c>
      <c r="B43" s="99">
        <v>47.06</v>
      </c>
      <c r="C43" s="99">
        <v>47.06</v>
      </c>
      <c r="D43" s="99">
        <v>47.06</v>
      </c>
      <c r="E43" s="99">
        <v>47.06</v>
      </c>
      <c r="F43" s="99">
        <v>47.06</v>
      </c>
      <c r="G43" s="99">
        <v>47.06</v>
      </c>
      <c r="H43" s="99">
        <v>47.06</v>
      </c>
      <c r="I43" s="99">
        <v>47.06</v>
      </c>
      <c r="J43" s="99">
        <v>47.06</v>
      </c>
      <c r="K43" s="99">
        <v>47.06</v>
      </c>
      <c r="L43" s="99">
        <v>47.06</v>
      </c>
      <c r="M43" s="99">
        <v>47.06</v>
      </c>
      <c r="N43" s="99">
        <f t="shared" si="5"/>
        <v>564.72</v>
      </c>
      <c r="X43" s="110"/>
    </row>
    <row r="44" spans="1:24" s="109" customFormat="1" ht="12">
      <c r="A44" s="99" t="s">
        <v>126</v>
      </c>
      <c r="B44" s="99">
        <v>239.25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>
        <f t="shared" si="5"/>
        <v>239.25</v>
      </c>
      <c r="X44" s="110"/>
    </row>
    <row r="45" spans="1:24" s="109" customFormat="1" ht="12">
      <c r="A45" s="99" t="s">
        <v>46</v>
      </c>
      <c r="B45" s="99"/>
      <c r="C45" s="99">
        <f>165.37+58.82</f>
        <v>224.19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>
        <f t="shared" si="5"/>
        <v>224.19</v>
      </c>
      <c r="X45" s="110"/>
    </row>
    <row r="46" spans="1:24" s="109" customFormat="1" ht="12">
      <c r="A46" s="99" t="s">
        <v>47</v>
      </c>
      <c r="B46" s="99"/>
      <c r="C46" s="99">
        <v>117.65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>
        <f t="shared" si="5"/>
        <v>117.65</v>
      </c>
      <c r="X46" s="110"/>
    </row>
    <row r="47" spans="1:24" s="109" customFormat="1" ht="12">
      <c r="A47" s="99" t="s">
        <v>48</v>
      </c>
      <c r="B47" s="99"/>
      <c r="C47" s="99"/>
      <c r="D47" s="99">
        <v>17.65</v>
      </c>
      <c r="E47" s="99"/>
      <c r="F47" s="99"/>
      <c r="G47" s="99"/>
      <c r="H47" s="99"/>
      <c r="I47" s="99"/>
      <c r="J47" s="99"/>
      <c r="K47" s="99"/>
      <c r="L47" s="99"/>
      <c r="M47" s="99"/>
      <c r="N47" s="99">
        <f t="shared" si="5"/>
        <v>17.65</v>
      </c>
      <c r="X47" s="110"/>
    </row>
    <row r="48" spans="1:24" s="109" customFormat="1" ht="12">
      <c r="A48" s="99" t="s">
        <v>50</v>
      </c>
      <c r="B48" s="99"/>
      <c r="C48" s="99"/>
      <c r="D48" s="112">
        <v>126.47</v>
      </c>
      <c r="E48" s="99"/>
      <c r="F48" s="99">
        <v>735</v>
      </c>
      <c r="G48" s="99">
        <v>315</v>
      </c>
      <c r="H48" s="99"/>
      <c r="I48" s="99"/>
      <c r="J48" s="99"/>
      <c r="K48" s="99"/>
      <c r="L48" s="99"/>
      <c r="M48" s="99"/>
      <c r="N48" s="99">
        <f t="shared" si="5"/>
        <v>1176.47</v>
      </c>
      <c r="X48" s="110"/>
    </row>
    <row r="49" spans="1:24" s="109" customFormat="1" ht="12">
      <c r="A49" s="99" t="s">
        <v>49</v>
      </c>
      <c r="B49" s="99"/>
      <c r="C49" s="99"/>
      <c r="D49" s="99"/>
      <c r="E49" s="99">
        <v>3100</v>
      </c>
      <c r="F49" s="99"/>
      <c r="G49" s="99"/>
      <c r="H49" s="99"/>
      <c r="I49" s="99"/>
      <c r="J49" s="99"/>
      <c r="K49" s="99"/>
      <c r="L49" s="99"/>
      <c r="M49" s="99"/>
      <c r="N49" s="99">
        <f t="shared" si="5"/>
        <v>3100</v>
      </c>
      <c r="X49" s="110"/>
    </row>
    <row r="50" spans="1:24" s="109" customFormat="1" ht="12">
      <c r="A50" s="99" t="s">
        <v>51</v>
      </c>
      <c r="B50" s="99"/>
      <c r="C50" s="99"/>
      <c r="D50" s="99"/>
      <c r="E50" s="99"/>
      <c r="F50" s="99">
        <v>405.71</v>
      </c>
      <c r="G50" s="99">
        <f>116.92+58.46</f>
        <v>175.38</v>
      </c>
      <c r="H50" s="99">
        <v>32.87</v>
      </c>
      <c r="I50" s="99">
        <f>80.77+32.87</f>
        <v>113.63999999999999</v>
      </c>
      <c r="J50" s="99"/>
      <c r="K50" s="99"/>
      <c r="L50" s="99"/>
      <c r="M50" s="99"/>
      <c r="N50" s="99">
        <f t="shared" si="5"/>
        <v>727.5999999999999</v>
      </c>
      <c r="X50" s="110"/>
    </row>
    <row r="51" spans="1:24" s="109" customFormat="1" ht="12">
      <c r="A51" s="99" t="s">
        <v>130</v>
      </c>
      <c r="B51" s="99"/>
      <c r="C51" s="99"/>
      <c r="D51" s="99"/>
      <c r="E51" s="99"/>
      <c r="F51" s="99"/>
      <c r="G51" s="99"/>
      <c r="H51" s="99">
        <v>161.76</v>
      </c>
      <c r="I51" s="99"/>
      <c r="J51" s="99"/>
      <c r="K51" s="99"/>
      <c r="L51" s="99"/>
      <c r="M51" s="99"/>
      <c r="N51" s="99">
        <f t="shared" si="5"/>
        <v>161.76</v>
      </c>
      <c r="X51" s="110"/>
    </row>
    <row r="52" spans="1:24" s="109" customFormat="1" ht="12">
      <c r="A52" s="99" t="s">
        <v>134</v>
      </c>
      <c r="B52" s="99"/>
      <c r="C52" s="99"/>
      <c r="D52" s="99"/>
      <c r="E52" s="99"/>
      <c r="F52" s="99"/>
      <c r="G52" s="99"/>
      <c r="H52" s="99">
        <v>93.51</v>
      </c>
      <c r="I52" s="99"/>
      <c r="J52" s="99"/>
      <c r="K52" s="99">
        <v>60.72</v>
      </c>
      <c r="L52" s="99"/>
      <c r="M52" s="99"/>
      <c r="N52" s="99">
        <f t="shared" si="5"/>
        <v>154.23000000000002</v>
      </c>
      <c r="X52" s="110"/>
    </row>
    <row r="53" spans="1:24" s="109" customFormat="1" ht="12">
      <c r="A53" s="111" t="s">
        <v>139</v>
      </c>
      <c r="B53" s="99"/>
      <c r="C53" s="99"/>
      <c r="D53" s="99"/>
      <c r="E53" s="99"/>
      <c r="F53" s="99"/>
      <c r="G53" s="99"/>
      <c r="H53" s="99"/>
      <c r="I53" s="99">
        <v>8.34</v>
      </c>
      <c r="J53" s="99"/>
      <c r="K53" s="99"/>
      <c r="L53" s="99"/>
      <c r="M53" s="99"/>
      <c r="N53" s="99">
        <f t="shared" si="5"/>
        <v>8.34</v>
      </c>
      <c r="X53" s="110"/>
    </row>
    <row r="54" spans="1:24" s="109" customFormat="1" ht="12">
      <c r="A54" s="99" t="s">
        <v>207</v>
      </c>
      <c r="B54" s="99"/>
      <c r="C54" s="99"/>
      <c r="D54" s="99"/>
      <c r="E54" s="99"/>
      <c r="F54" s="99"/>
      <c r="G54" s="99"/>
      <c r="H54" s="99"/>
      <c r="I54" s="99">
        <v>55.57</v>
      </c>
      <c r="J54" s="99"/>
      <c r="K54" s="99">
        <v>62.01</v>
      </c>
      <c r="L54" s="99">
        <v>62.01</v>
      </c>
      <c r="M54" s="99">
        <v>82.68</v>
      </c>
      <c r="N54" s="99">
        <f t="shared" si="5"/>
        <v>262.27</v>
      </c>
      <c r="X54" s="110"/>
    </row>
    <row r="55" spans="1:24" s="109" customFormat="1" ht="12">
      <c r="A55" s="99" t="s">
        <v>156</v>
      </c>
      <c r="B55" s="99"/>
      <c r="C55" s="99"/>
      <c r="D55" s="99"/>
      <c r="E55" s="99"/>
      <c r="F55" s="99"/>
      <c r="G55" s="99"/>
      <c r="H55" s="99"/>
      <c r="I55" s="99">
        <v>7.22</v>
      </c>
      <c r="J55" s="99"/>
      <c r="K55" s="99"/>
      <c r="L55" s="99"/>
      <c r="M55" s="99"/>
      <c r="N55" s="99">
        <f t="shared" si="5"/>
        <v>7.22</v>
      </c>
      <c r="X55" s="110"/>
    </row>
    <row r="56" spans="1:24" s="109" customFormat="1" ht="12">
      <c r="A56" s="99" t="s">
        <v>157</v>
      </c>
      <c r="B56" s="99"/>
      <c r="C56" s="99"/>
      <c r="D56" s="99"/>
      <c r="E56" s="99"/>
      <c r="F56" s="99"/>
      <c r="G56" s="99"/>
      <c r="H56" s="99"/>
      <c r="I56" s="99"/>
      <c r="J56" s="99">
        <v>160.75</v>
      </c>
      <c r="K56" s="99"/>
      <c r="L56" s="99"/>
      <c r="M56" s="99"/>
      <c r="N56" s="99">
        <f t="shared" si="5"/>
        <v>160.75</v>
      </c>
      <c r="X56" s="110"/>
    </row>
    <row r="57" spans="1:24" s="109" customFormat="1" ht="12">
      <c r="A57" s="99" t="s">
        <v>158</v>
      </c>
      <c r="B57" s="99"/>
      <c r="C57" s="99"/>
      <c r="D57" s="99"/>
      <c r="E57" s="99"/>
      <c r="F57" s="99"/>
      <c r="G57" s="99"/>
      <c r="H57" s="99"/>
      <c r="I57" s="99"/>
      <c r="J57" s="99">
        <v>4085.45</v>
      </c>
      <c r="K57" s="99"/>
      <c r="L57" s="99"/>
      <c r="M57" s="99"/>
      <c r="N57" s="99">
        <f t="shared" si="5"/>
        <v>4085.45</v>
      </c>
      <c r="X57" s="110"/>
    </row>
    <row r="58" spans="1:24" s="109" customFormat="1" ht="12">
      <c r="A58" s="99" t="s">
        <v>159</v>
      </c>
      <c r="B58" s="99"/>
      <c r="C58" s="99"/>
      <c r="D58" s="99"/>
      <c r="E58" s="99"/>
      <c r="F58" s="99"/>
      <c r="G58" s="99"/>
      <c r="H58" s="99"/>
      <c r="I58" s="99"/>
      <c r="J58" s="99">
        <v>17.5</v>
      </c>
      <c r="K58" s="99"/>
      <c r="L58" s="99"/>
      <c r="M58" s="99"/>
      <c r="N58" s="99">
        <f t="shared" si="5"/>
        <v>17.5</v>
      </c>
      <c r="X58" s="110"/>
    </row>
    <row r="59" spans="1:24" s="109" customFormat="1" ht="12">
      <c r="A59" s="99" t="s">
        <v>213</v>
      </c>
      <c r="B59" s="99"/>
      <c r="C59" s="99"/>
      <c r="D59" s="99"/>
      <c r="E59" s="99"/>
      <c r="F59" s="99"/>
      <c r="G59" s="99"/>
      <c r="H59" s="99"/>
      <c r="I59" s="99"/>
      <c r="J59" s="99"/>
      <c r="K59" s="99">
        <v>375</v>
      </c>
      <c r="L59" s="99"/>
      <c r="M59" s="99"/>
      <c r="N59" s="99">
        <f t="shared" si="5"/>
        <v>375</v>
      </c>
      <c r="X59" s="110"/>
    </row>
    <row r="60" spans="1:24" s="109" customFormat="1" ht="12">
      <c r="A60" s="99" t="s">
        <v>161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>
        <v>76.48</v>
      </c>
      <c r="M60" s="99"/>
      <c r="N60" s="99">
        <f t="shared" si="5"/>
        <v>76.48</v>
      </c>
      <c r="X60" s="110"/>
    </row>
    <row r="61" spans="1:24" s="109" customFormat="1" ht="12">
      <c r="A61" s="99" t="s">
        <v>162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>
        <v>10.31</v>
      </c>
      <c r="M61" s="99"/>
      <c r="N61" s="99">
        <f t="shared" si="5"/>
        <v>10.31</v>
      </c>
      <c r="X61" s="110"/>
    </row>
    <row r="62" spans="1:24" s="109" customFormat="1" ht="12">
      <c r="A62" s="99" t="s">
        <v>165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>
        <v>18.52</v>
      </c>
      <c r="N62" s="99">
        <f t="shared" si="5"/>
        <v>18.52</v>
      </c>
      <c r="X62" s="110"/>
    </row>
    <row r="63" spans="1:24" s="109" customFormat="1" ht="12">
      <c r="A63" s="99" t="s">
        <v>163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>
        <v>2670</v>
      </c>
      <c r="N63" s="99">
        <f t="shared" si="5"/>
        <v>2670</v>
      </c>
      <c r="X63" s="110"/>
    </row>
    <row r="64" spans="1:24" s="109" customFormat="1" ht="12" hidden="1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>
        <f t="shared" si="5"/>
        <v>0</v>
      </c>
      <c r="X64" s="110"/>
    </row>
    <row r="65" spans="1:24" s="109" customFormat="1" ht="12" hidden="1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>
        <f t="shared" si="5"/>
        <v>0</v>
      </c>
      <c r="X65" s="110"/>
    </row>
    <row r="66" spans="1:24" s="109" customFormat="1" ht="12" hidden="1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>
        <f t="shared" si="5"/>
        <v>0</v>
      </c>
      <c r="X66" s="110"/>
    </row>
    <row r="67" spans="1:24" s="109" customFormat="1" ht="12" hidden="1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>
        <f t="shared" si="5"/>
        <v>0</v>
      </c>
      <c r="X67" s="110"/>
    </row>
    <row r="68" spans="1:24" s="109" customFormat="1" ht="12" hidden="1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>
        <f t="shared" si="5"/>
        <v>0</v>
      </c>
      <c r="X68" s="110"/>
    </row>
    <row r="69" spans="1:24" s="109" customFormat="1" ht="12">
      <c r="A69" s="108" t="s">
        <v>16</v>
      </c>
      <c r="B69" s="108">
        <f aca="true" t="shared" si="6" ref="B69:N69">SUM(B27:B68)</f>
        <v>6427.84</v>
      </c>
      <c r="C69" s="108">
        <f t="shared" si="6"/>
        <v>7947.43</v>
      </c>
      <c r="D69" s="108">
        <f t="shared" si="6"/>
        <v>7804.970000000001</v>
      </c>
      <c r="E69" s="108">
        <f t="shared" si="6"/>
        <v>9692.32</v>
      </c>
      <c r="F69" s="108">
        <f t="shared" si="6"/>
        <v>12606.949999999999</v>
      </c>
      <c r="G69" s="108">
        <f t="shared" si="6"/>
        <v>6928.68</v>
      </c>
      <c r="H69" s="108">
        <f t="shared" si="6"/>
        <v>8078.4000000000015</v>
      </c>
      <c r="I69" s="108">
        <f t="shared" si="6"/>
        <v>7054.130000000001</v>
      </c>
      <c r="J69" s="108">
        <f t="shared" si="6"/>
        <v>11965.93</v>
      </c>
      <c r="K69" s="108">
        <f t="shared" si="6"/>
        <v>7828.370000000001</v>
      </c>
      <c r="L69" s="108">
        <f t="shared" si="6"/>
        <v>6705.97</v>
      </c>
      <c r="M69" s="108">
        <f t="shared" si="6"/>
        <v>10514.010000000002</v>
      </c>
      <c r="N69" s="108">
        <f t="shared" si="6"/>
        <v>103925.47</v>
      </c>
      <c r="X69" s="110"/>
    </row>
    <row r="71" spans="1:14" ht="12">
      <c r="A71" s="113" t="s">
        <v>149</v>
      </c>
      <c r="B71" s="114">
        <f aca="true" t="shared" si="7" ref="B71:N71">B9+B19-B69</f>
        <v>-11174.710000000001</v>
      </c>
      <c r="C71" s="114">
        <f t="shared" si="7"/>
        <v>-19453.08</v>
      </c>
      <c r="D71" s="114">
        <f t="shared" si="7"/>
        <v>-20988.72</v>
      </c>
      <c r="E71" s="114">
        <f t="shared" si="7"/>
        <v>-22570.58</v>
      </c>
      <c r="F71" s="114">
        <f t="shared" si="7"/>
        <v>-27833.25</v>
      </c>
      <c r="G71" s="114">
        <f t="shared" si="7"/>
        <v>-27529.34</v>
      </c>
      <c r="H71" s="114">
        <f t="shared" si="7"/>
        <v>-23931.57</v>
      </c>
      <c r="I71" s="114">
        <f t="shared" si="7"/>
        <v>-23260.91</v>
      </c>
      <c r="J71" s="114">
        <f t="shared" si="7"/>
        <v>-24081.72</v>
      </c>
      <c r="K71" s="114">
        <f t="shared" si="7"/>
        <v>-16514.11</v>
      </c>
      <c r="L71" s="114">
        <f t="shared" si="7"/>
        <v>-14091.25</v>
      </c>
      <c r="M71" s="114">
        <f t="shared" si="7"/>
        <v>-16696.730000000003</v>
      </c>
      <c r="N71" s="115">
        <f t="shared" si="7"/>
        <v>-17067.20000000001</v>
      </c>
    </row>
    <row r="72" spans="1:14" ht="12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9"/>
    </row>
    <row r="73" spans="1:14" ht="12" hidden="1">
      <c r="A73" s="116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9"/>
    </row>
    <row r="74" spans="1:14" s="87" customFormat="1" ht="12" hidden="1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</row>
    <row r="75" spans="1:14" s="87" customFormat="1" ht="12" hidden="1">
      <c r="A75" s="117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</row>
    <row r="76" spans="1:14" s="87" customFormat="1" ht="12" hidden="1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</row>
    <row r="77" ht="12">
      <c r="A77" s="86" t="s">
        <v>24</v>
      </c>
    </row>
    <row r="78" ht="12">
      <c r="A78" s="86" t="s">
        <v>25</v>
      </c>
    </row>
  </sheetData>
  <sheetProtection selectLockedCells="1" selectUnlockedCells="1"/>
  <mergeCells count="3">
    <mergeCell ref="A1:N1"/>
    <mergeCell ref="A2:N2"/>
    <mergeCell ref="A3:N3"/>
  </mergeCells>
  <printOptions/>
  <pageMargins left="2.02" right="0.17" top="0.35" bottom="1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Y76"/>
  <sheetViews>
    <sheetView zoomScalePageLayoutView="0" workbookViewId="0" topLeftCell="A1">
      <pane xSplit="2" ySplit="4" topLeftCell="C2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9" sqref="B19"/>
    </sheetView>
  </sheetViews>
  <sheetFormatPr defaultColWidth="26.75390625" defaultRowHeight="12.75"/>
  <cols>
    <col min="1" max="1" width="1.75390625" style="86" customWidth="1"/>
    <col min="2" max="2" width="43.00390625" style="86" customWidth="1"/>
    <col min="3" max="3" width="8.625" style="86" hidden="1" customWidth="1"/>
    <col min="4" max="5" width="9.375" style="86" hidden="1" customWidth="1"/>
    <col min="6" max="6" width="10.25390625" style="86" hidden="1" customWidth="1"/>
    <col min="7" max="7" width="9.125" style="86" hidden="1" customWidth="1"/>
    <col min="8" max="8" width="9.00390625" style="86" hidden="1" customWidth="1"/>
    <col min="9" max="9" width="8.875" style="86" hidden="1" customWidth="1"/>
    <col min="10" max="10" width="9.25390625" style="86" hidden="1" customWidth="1"/>
    <col min="11" max="11" width="11.25390625" style="86" hidden="1" customWidth="1"/>
    <col min="12" max="12" width="9.75390625" style="86" hidden="1" customWidth="1"/>
    <col min="13" max="13" width="8.75390625" style="86" hidden="1" customWidth="1"/>
    <col min="14" max="14" width="9.25390625" style="86" hidden="1" customWidth="1"/>
    <col min="15" max="15" width="9.25390625" style="87" customWidth="1"/>
    <col min="16" max="16" width="7.625" style="86" customWidth="1"/>
    <col min="17" max="24" width="26.75390625" style="86" customWidth="1"/>
    <col min="25" max="25" width="26.75390625" style="87" customWidth="1"/>
    <col min="26" max="16384" width="26.75390625" style="86" customWidth="1"/>
  </cols>
  <sheetData>
    <row r="1" spans="2:16" ht="12.75">
      <c r="B1" s="196" t="s">
        <v>151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85"/>
    </row>
    <row r="2" spans="2:16" ht="12.75">
      <c r="B2" s="196" t="s">
        <v>152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85"/>
    </row>
    <row r="3" spans="2:16" ht="12">
      <c r="B3" s="197" t="s">
        <v>100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85"/>
    </row>
    <row r="4" spans="2:15" ht="25.5">
      <c r="B4" s="90" t="s">
        <v>101</v>
      </c>
      <c r="C4" s="91" t="s">
        <v>0</v>
      </c>
      <c r="D4" s="91" t="s">
        <v>1</v>
      </c>
      <c r="E4" s="91" t="s">
        <v>2</v>
      </c>
      <c r="F4" s="91" t="s">
        <v>3</v>
      </c>
      <c r="G4" s="91" t="s">
        <v>4</v>
      </c>
      <c r="H4" s="91" t="s">
        <v>5</v>
      </c>
      <c r="I4" s="91" t="s">
        <v>6</v>
      </c>
      <c r="J4" s="91" t="s">
        <v>7</v>
      </c>
      <c r="K4" s="91" t="s">
        <v>8</v>
      </c>
      <c r="L4" s="91" t="s">
        <v>9</v>
      </c>
      <c r="M4" s="91" t="s">
        <v>10</v>
      </c>
      <c r="N4" s="91" t="s">
        <v>11</v>
      </c>
      <c r="O4" s="69" t="s">
        <v>150</v>
      </c>
    </row>
    <row r="5" spans="2:15" ht="12">
      <c r="B5" s="94" t="s">
        <v>43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4"/>
    </row>
    <row r="6" spans="2:15" ht="12">
      <c r="B6" s="93" t="s">
        <v>13</v>
      </c>
      <c r="C6" s="93">
        <v>-50404.48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>
        <f>C6+D6+E6+F6+G6+H6+I6+J6+K6+L6+M6+N6</f>
        <v>-50404.48</v>
      </c>
    </row>
    <row r="7" spans="2:15" s="87" customFormat="1" ht="12">
      <c r="B7" s="94" t="s">
        <v>16</v>
      </c>
      <c r="C7" s="94">
        <v>-50404.48</v>
      </c>
      <c r="D7" s="94">
        <f aca="true" t="shared" si="0" ref="D7:I7">C72</f>
        <v>-53768.520000000004</v>
      </c>
      <c r="E7" s="94">
        <f t="shared" si="0"/>
        <v>-80778.18</v>
      </c>
      <c r="F7" s="94">
        <f t="shared" si="0"/>
        <v>-101002.6</v>
      </c>
      <c r="G7" s="94">
        <f t="shared" si="0"/>
        <v>-120378.16</v>
      </c>
      <c r="H7" s="94">
        <f t="shared" si="0"/>
        <v>-38635.62000000001</v>
      </c>
      <c r="I7" s="94">
        <f t="shared" si="0"/>
        <v>-42524.280000000006</v>
      </c>
      <c r="J7" s="94">
        <f>I72</f>
        <v>-43499.84</v>
      </c>
      <c r="K7" s="94">
        <f>J72</f>
        <v>-40780.249999999985</v>
      </c>
      <c r="L7" s="94">
        <f>K72</f>
        <v>-46624.35999999999</v>
      </c>
      <c r="M7" s="94">
        <f>L72</f>
        <v>-34720.659999999996</v>
      </c>
      <c r="N7" s="94">
        <f>M72</f>
        <v>-19577.399999999994</v>
      </c>
      <c r="O7" s="94">
        <f>O6</f>
        <v>-50404.48</v>
      </c>
    </row>
    <row r="8" spans="2:15" ht="12"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4"/>
    </row>
    <row r="9" spans="2:25" s="97" customFormat="1" ht="12">
      <c r="B9" s="95" t="s">
        <v>17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5"/>
      <c r="Y9" s="98"/>
    </row>
    <row r="10" spans="2:25" s="97" customFormat="1" ht="12">
      <c r="B10" s="96" t="s">
        <v>13</v>
      </c>
      <c r="C10" s="96">
        <v>32310.6</v>
      </c>
      <c r="D10" s="96">
        <v>32310.6</v>
      </c>
      <c r="E10" s="96">
        <v>32310.6</v>
      </c>
      <c r="F10" s="96">
        <v>32310.6</v>
      </c>
      <c r="G10" s="96">
        <v>32310.6</v>
      </c>
      <c r="H10" s="96">
        <v>32310.6</v>
      </c>
      <c r="I10" s="96">
        <v>34341.55</v>
      </c>
      <c r="J10" s="96">
        <v>34341.55</v>
      </c>
      <c r="K10" s="96">
        <v>34341.55</v>
      </c>
      <c r="L10" s="96">
        <v>34341.55</v>
      </c>
      <c r="M10" s="96">
        <v>34341.55</v>
      </c>
      <c r="N10" s="96">
        <v>34341.55</v>
      </c>
      <c r="O10" s="96">
        <f>C10+D10+E10+F10+G10+H10+I10+J10+K10+L10+M10+N10</f>
        <v>399912.89999999997</v>
      </c>
      <c r="Y10" s="98"/>
    </row>
    <row r="11" spans="2:25" s="97" customFormat="1" ht="12">
      <c r="B11" s="96" t="s">
        <v>206</v>
      </c>
      <c r="C11" s="96"/>
      <c r="D11" s="96"/>
      <c r="E11" s="96"/>
      <c r="F11" s="96"/>
      <c r="G11" s="96"/>
      <c r="H11" s="96"/>
      <c r="I11" s="96">
        <v>12493.43</v>
      </c>
      <c r="J11" s="96">
        <v>12493.43</v>
      </c>
      <c r="K11" s="96">
        <v>12493.43</v>
      </c>
      <c r="L11" s="96">
        <v>12493.43</v>
      </c>
      <c r="M11" s="96">
        <v>12493.43</v>
      </c>
      <c r="N11" s="96">
        <v>12493.43</v>
      </c>
      <c r="O11" s="96">
        <f>C11+D11+E11+F11+G11+H11+I11+J11+K11+L11+M11+N11</f>
        <v>74960.58</v>
      </c>
      <c r="Y11" s="98"/>
    </row>
    <row r="12" spans="2:25" s="97" customFormat="1" ht="12">
      <c r="B12" s="96" t="s">
        <v>205</v>
      </c>
      <c r="C12" s="96"/>
      <c r="D12" s="96"/>
      <c r="E12" s="96"/>
      <c r="F12" s="96"/>
      <c r="G12" s="96"/>
      <c r="H12" s="96"/>
      <c r="I12" s="96"/>
      <c r="J12" s="96"/>
      <c r="K12" s="96"/>
      <c r="L12" s="96">
        <v>11138.89</v>
      </c>
      <c r="M12" s="96"/>
      <c r="N12" s="96"/>
      <c r="O12" s="96">
        <f>C12+D12+E12+F12+G12+H12+I12+J12+K12+L12+M12+N12</f>
        <v>11138.89</v>
      </c>
      <c r="Y12" s="98"/>
    </row>
    <row r="13" spans="2:25" s="97" customFormat="1" ht="12">
      <c r="B13" s="99" t="s">
        <v>30</v>
      </c>
      <c r="C13" s="96">
        <v>1250</v>
      </c>
      <c r="D13" s="96">
        <v>1250</v>
      </c>
      <c r="E13" s="96">
        <v>1250</v>
      </c>
      <c r="F13" s="96">
        <v>1250</v>
      </c>
      <c r="G13" s="96">
        <v>1250</v>
      </c>
      <c r="H13" s="96">
        <v>1250</v>
      </c>
      <c r="I13" s="96"/>
      <c r="J13" s="96"/>
      <c r="K13" s="96"/>
      <c r="L13" s="96"/>
      <c r="M13" s="96"/>
      <c r="N13" s="96"/>
      <c r="O13" s="96">
        <f>C13+D13+E13+F13+G13+H13+I13+J13+K13+L13+M13+N13</f>
        <v>7500</v>
      </c>
      <c r="Y13" s="98"/>
    </row>
    <row r="14" spans="2:15" s="98" customFormat="1" ht="12">
      <c r="B14" s="95" t="s">
        <v>16</v>
      </c>
      <c r="C14" s="95">
        <f aca="true" t="shared" si="1" ref="C14:H14">SUM(C8:C13)</f>
        <v>33560.6</v>
      </c>
      <c r="D14" s="95">
        <f t="shared" si="1"/>
        <v>33560.6</v>
      </c>
      <c r="E14" s="95">
        <f t="shared" si="1"/>
        <v>33560.6</v>
      </c>
      <c r="F14" s="95">
        <f t="shared" si="1"/>
        <v>33560.6</v>
      </c>
      <c r="G14" s="95">
        <f t="shared" si="1"/>
        <v>33560.6</v>
      </c>
      <c r="H14" s="95">
        <f t="shared" si="1"/>
        <v>33560.6</v>
      </c>
      <c r="I14" s="95">
        <f aca="true" t="shared" si="2" ref="I14:N14">SUM(I8:I12)</f>
        <v>46834.98</v>
      </c>
      <c r="J14" s="95">
        <f t="shared" si="2"/>
        <v>46834.98</v>
      </c>
      <c r="K14" s="95">
        <f t="shared" si="2"/>
        <v>46834.98</v>
      </c>
      <c r="L14" s="95">
        <f t="shared" si="2"/>
        <v>57973.87</v>
      </c>
      <c r="M14" s="95">
        <f t="shared" si="2"/>
        <v>46834.98</v>
      </c>
      <c r="N14" s="95">
        <f t="shared" si="2"/>
        <v>46834.98</v>
      </c>
      <c r="O14" s="95">
        <f>C14+D14+E14+F14+G14+H14+I14+J14+K14+L14+M14+N14</f>
        <v>493512.36999999994</v>
      </c>
    </row>
    <row r="15" spans="2:15" ht="12"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4"/>
    </row>
    <row r="16" spans="2:25" s="102" customFormat="1" ht="12">
      <c r="B16" s="100" t="s">
        <v>18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0"/>
      <c r="Y16" s="103"/>
    </row>
    <row r="17" spans="2:25" s="102" customFormat="1" ht="12">
      <c r="B17" s="101" t="s">
        <v>13</v>
      </c>
      <c r="C17" s="101">
        <v>19418.94</v>
      </c>
      <c r="D17" s="101">
        <v>4217.1</v>
      </c>
      <c r="E17" s="101">
        <v>7824.75</v>
      </c>
      <c r="F17" s="101">
        <v>12511.39</v>
      </c>
      <c r="G17" s="101">
        <f>30013.12+93368.13</f>
        <v>123381.25</v>
      </c>
      <c r="H17" s="101">
        <v>24511.74</v>
      </c>
      <c r="I17" s="101">
        <v>28851.91</v>
      </c>
      <c r="J17" s="101">
        <v>27097.27</v>
      </c>
      <c r="K17" s="101">
        <v>34827.13</v>
      </c>
      <c r="L17" s="101">
        <f>39131.26+784.09</f>
        <v>39915.35</v>
      </c>
      <c r="M17" s="101">
        <v>35004.28</v>
      </c>
      <c r="N17" s="101">
        <v>25215.29</v>
      </c>
      <c r="O17" s="101">
        <f>C17+D17+E17+F17+G17+H17+I17+J17+K17+L17+M17+N17</f>
        <v>382776.39999999997</v>
      </c>
      <c r="Y17" s="103"/>
    </row>
    <row r="18" spans="2:25" s="102" customFormat="1" ht="12">
      <c r="B18" s="96" t="s">
        <v>206</v>
      </c>
      <c r="C18" s="101"/>
      <c r="D18" s="101"/>
      <c r="E18" s="101"/>
      <c r="F18" s="101"/>
      <c r="G18" s="101"/>
      <c r="H18" s="101"/>
      <c r="I18" s="101"/>
      <c r="J18" s="101">
        <v>10773.61</v>
      </c>
      <c r="K18" s="101">
        <v>10920.58</v>
      </c>
      <c r="L18" s="101">
        <v>10898.66</v>
      </c>
      <c r="M18" s="101">
        <v>11432.14</v>
      </c>
      <c r="N18" s="101">
        <v>13229.09</v>
      </c>
      <c r="O18" s="101">
        <f>C18+D18+E18+F18+G18+H18+I18+J18+K18+L18+M18+N18</f>
        <v>57254.08</v>
      </c>
      <c r="Y18" s="103"/>
    </row>
    <row r="19" spans="2:25" s="102" customFormat="1" ht="12">
      <c r="B19" s="96" t="s">
        <v>205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>
        <v>7231.6</v>
      </c>
      <c r="N19" s="101">
        <v>2991.2</v>
      </c>
      <c r="O19" s="101">
        <f>C19+D19+E19+F19+G19+H19+I19+J19+K19+L19+M19+N19</f>
        <v>10222.8</v>
      </c>
      <c r="Y19" s="103"/>
    </row>
    <row r="20" spans="2:25" s="102" customFormat="1" ht="12">
      <c r="B20" s="99" t="s">
        <v>30</v>
      </c>
      <c r="C20" s="101">
        <v>1539.96</v>
      </c>
      <c r="D20" s="101">
        <v>1050.52</v>
      </c>
      <c r="E20" s="101">
        <v>2114.43</v>
      </c>
      <c r="F20" s="101">
        <v>1245.69</v>
      </c>
      <c r="G20" s="101">
        <v>1273.15</v>
      </c>
      <c r="H20" s="101">
        <v>1287.53</v>
      </c>
      <c r="I20" s="101">
        <v>984.81</v>
      </c>
      <c r="J20" s="101"/>
      <c r="K20" s="101"/>
      <c r="L20" s="101"/>
      <c r="M20" s="101"/>
      <c r="N20" s="101"/>
      <c r="O20" s="101">
        <f>C20+D20+E20+F20+G20+H20+I20+J20+K20+L20+M20+N20</f>
        <v>9496.09</v>
      </c>
      <c r="Y20" s="103"/>
    </row>
    <row r="21" spans="2:25" s="102" customFormat="1" ht="12">
      <c r="B21" s="99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Y21" s="103"/>
    </row>
    <row r="22" spans="2:15" s="103" customFormat="1" ht="12">
      <c r="B22" s="100" t="s">
        <v>16</v>
      </c>
      <c r="C22" s="100">
        <f>SUM(C17:C21)</f>
        <v>20958.899999999998</v>
      </c>
      <c r="D22" s="100">
        <f aca="true" t="shared" si="3" ref="D22:O22">SUM(D17:D21)</f>
        <v>5267.620000000001</v>
      </c>
      <c r="E22" s="100">
        <f t="shared" si="3"/>
        <v>9939.18</v>
      </c>
      <c r="F22" s="100">
        <f t="shared" si="3"/>
        <v>13757.08</v>
      </c>
      <c r="G22" s="100">
        <f t="shared" si="3"/>
        <v>124654.4</v>
      </c>
      <c r="H22" s="100">
        <f t="shared" si="3"/>
        <v>25799.27</v>
      </c>
      <c r="I22" s="100">
        <f t="shared" si="3"/>
        <v>29836.72</v>
      </c>
      <c r="J22" s="100">
        <f t="shared" si="3"/>
        <v>37870.880000000005</v>
      </c>
      <c r="K22" s="100">
        <f t="shared" si="3"/>
        <v>45747.71</v>
      </c>
      <c r="L22" s="100">
        <f t="shared" si="3"/>
        <v>50814.009999999995</v>
      </c>
      <c r="M22" s="100">
        <f t="shared" si="3"/>
        <v>53668.02</v>
      </c>
      <c r="N22" s="100">
        <f t="shared" si="3"/>
        <v>41435.58</v>
      </c>
      <c r="O22" s="100">
        <f t="shared" si="3"/>
        <v>459749.37</v>
      </c>
    </row>
    <row r="23" spans="2:15" ht="12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4"/>
    </row>
    <row r="24" spans="2:15" ht="12">
      <c r="B24" s="94" t="s">
        <v>19</v>
      </c>
      <c r="C24" s="104">
        <f aca="true" t="shared" si="4" ref="C24:O24">C22/C14</f>
        <v>0.624509096976812</v>
      </c>
      <c r="D24" s="104">
        <f t="shared" si="4"/>
        <v>0.15695845723854762</v>
      </c>
      <c r="E24" s="104">
        <f t="shared" si="4"/>
        <v>0.2961562069808049</v>
      </c>
      <c r="F24" s="104">
        <f t="shared" si="4"/>
        <v>0.40991758192642563</v>
      </c>
      <c r="G24" s="104">
        <f t="shared" si="4"/>
        <v>3.714307849084939</v>
      </c>
      <c r="H24" s="104">
        <f t="shared" si="4"/>
        <v>0.7687368521420952</v>
      </c>
      <c r="I24" s="104">
        <f t="shared" si="4"/>
        <v>0.6370605901828078</v>
      </c>
      <c r="J24" s="104">
        <f t="shared" si="4"/>
        <v>0.8086024591021498</v>
      </c>
      <c r="K24" s="104">
        <f t="shared" si="4"/>
        <v>0.9767850867022895</v>
      </c>
      <c r="L24" s="104">
        <f t="shared" si="4"/>
        <v>0.8764984983752162</v>
      </c>
      <c r="M24" s="104">
        <f t="shared" si="4"/>
        <v>1.1458960802374634</v>
      </c>
      <c r="N24" s="104">
        <f t="shared" si="4"/>
        <v>0.8847143737437274</v>
      </c>
      <c r="O24" s="105">
        <f t="shared" si="4"/>
        <v>0.9315863146449602</v>
      </c>
    </row>
    <row r="25" spans="2:15" ht="12">
      <c r="B25" s="9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6"/>
    </row>
    <row r="26" spans="2:15" ht="12">
      <c r="B26" s="94" t="s">
        <v>20</v>
      </c>
      <c r="C26" s="107">
        <f aca="true" t="shared" si="5" ref="C26:N26">C14-C22</f>
        <v>12601.7</v>
      </c>
      <c r="D26" s="107">
        <f t="shared" si="5"/>
        <v>28292.979999999996</v>
      </c>
      <c r="E26" s="107">
        <f t="shared" si="5"/>
        <v>23621.42</v>
      </c>
      <c r="F26" s="107">
        <f t="shared" si="5"/>
        <v>19803.519999999997</v>
      </c>
      <c r="G26" s="107">
        <f t="shared" si="5"/>
        <v>-91093.79999999999</v>
      </c>
      <c r="H26" s="107">
        <f t="shared" si="5"/>
        <v>7761.329999999998</v>
      </c>
      <c r="I26" s="107">
        <f t="shared" si="5"/>
        <v>16998.260000000002</v>
      </c>
      <c r="J26" s="107">
        <f t="shared" si="5"/>
        <v>8964.099999999999</v>
      </c>
      <c r="K26" s="107">
        <f t="shared" si="5"/>
        <v>1087.270000000004</v>
      </c>
      <c r="L26" s="107">
        <f t="shared" si="5"/>
        <v>7159.860000000008</v>
      </c>
      <c r="M26" s="107">
        <f t="shared" si="5"/>
        <v>-6833.039999999994</v>
      </c>
      <c r="N26" s="107">
        <f t="shared" si="5"/>
        <v>5399.4000000000015</v>
      </c>
      <c r="O26" s="107">
        <f>O14-O22</f>
        <v>33762.99999999994</v>
      </c>
    </row>
    <row r="27" spans="2:15" ht="12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4"/>
    </row>
    <row r="28" spans="2:25" s="109" customFormat="1" ht="12">
      <c r="B28" s="108" t="s">
        <v>21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108"/>
      <c r="Y28" s="110"/>
    </row>
    <row r="29" spans="2:25" s="109" customFormat="1" ht="12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108"/>
      <c r="Y29" s="110"/>
    </row>
    <row r="30" spans="2:25" s="109" customFormat="1" ht="12">
      <c r="B30" s="99" t="s">
        <v>22</v>
      </c>
      <c r="C30" s="99">
        <v>235.86</v>
      </c>
      <c r="D30" s="99">
        <v>186.05</v>
      </c>
      <c r="E30" s="99">
        <f>463.54+0.09</f>
        <v>463.63</v>
      </c>
      <c r="F30" s="99">
        <f>255.1+52.42</f>
        <v>307.52</v>
      </c>
      <c r="G30" s="99">
        <f>1688.1</f>
        <v>1688.1</v>
      </c>
      <c r="H30" s="99">
        <f>191.11+116.69</f>
        <v>307.8</v>
      </c>
      <c r="I30" s="99">
        <f>269.36+16.36</f>
        <v>285.72</v>
      </c>
      <c r="J30" s="99">
        <v>274.94</v>
      </c>
      <c r="K30" s="99">
        <v>252.07</v>
      </c>
      <c r="L30" s="99">
        <f>342.99+474.12</f>
        <v>817.11</v>
      </c>
      <c r="M30" s="99">
        <v>111.11</v>
      </c>
      <c r="N30" s="99">
        <v>291.76</v>
      </c>
      <c r="O30" s="99">
        <f>C30+D30+E30+F30+G30+H30+I30+J30+K30+L30+M30+N30</f>
        <v>5221.67</v>
      </c>
      <c r="Y30" s="110"/>
    </row>
    <row r="31" spans="2:25" s="109" customFormat="1" ht="12">
      <c r="B31" s="99" t="s">
        <v>185</v>
      </c>
      <c r="C31" s="99">
        <v>11373.33</v>
      </c>
      <c r="D31" s="99">
        <v>11373.33</v>
      </c>
      <c r="E31" s="99">
        <v>11373.33</v>
      </c>
      <c r="F31" s="99">
        <v>11373.33</v>
      </c>
      <c r="G31" s="99">
        <v>11373.33</v>
      </c>
      <c r="H31" s="99">
        <v>11373.33</v>
      </c>
      <c r="I31" s="99">
        <v>11373.33</v>
      </c>
      <c r="J31" s="99">
        <v>10543.5</v>
      </c>
      <c r="K31" s="99">
        <v>10739.43</v>
      </c>
      <c r="L31" s="99">
        <v>10739.43</v>
      </c>
      <c r="M31" s="99">
        <v>10739.43</v>
      </c>
      <c r="N31" s="99">
        <v>10739.43</v>
      </c>
      <c r="O31" s="99">
        <f aca="true" t="shared" si="6" ref="O31:O69">C31+D31+E31+F31+G31+H31+I31+J31+K31+L31+M31+N31</f>
        <v>133114.52999999997</v>
      </c>
      <c r="Y31" s="110"/>
    </row>
    <row r="32" spans="2:25" s="109" customFormat="1" ht="12">
      <c r="B32" s="99" t="s">
        <v>31</v>
      </c>
      <c r="C32" s="99">
        <f>1538.6+1265.21</f>
        <v>2803.81</v>
      </c>
      <c r="D32" s="99">
        <f>1538.6+2456.68</f>
        <v>3995.2799999999997</v>
      </c>
      <c r="E32" s="99">
        <f>1538.6+2000+385.5</f>
        <v>3924.1</v>
      </c>
      <c r="F32" s="99">
        <f>2000+882.29</f>
        <v>2882.29</v>
      </c>
      <c r="G32" s="99">
        <f>2000+882.29</f>
        <v>2882.29</v>
      </c>
      <c r="H32" s="99">
        <f>2000+882.29</f>
        <v>2882.29</v>
      </c>
      <c r="I32" s="99">
        <v>2985.95</v>
      </c>
      <c r="J32" s="99">
        <v>2283.63</v>
      </c>
      <c r="K32" s="99">
        <v>2283.63</v>
      </c>
      <c r="L32" s="99">
        <v>2283.63</v>
      </c>
      <c r="M32" s="99">
        <v>2283.63</v>
      </c>
      <c r="N32" s="99">
        <v>2283.63</v>
      </c>
      <c r="O32" s="99">
        <f>C32+D32+E32+F32+G32+H32+I32+J32+K32+L32+M32+N32+1166.86</f>
        <v>34941.020000000004</v>
      </c>
      <c r="Y32" s="110"/>
    </row>
    <row r="33" spans="2:25" s="109" customFormat="1" ht="12">
      <c r="B33" s="99" t="s">
        <v>32</v>
      </c>
      <c r="C33" s="99">
        <v>2867.99</v>
      </c>
      <c r="D33" s="99">
        <v>5718.76</v>
      </c>
      <c r="E33" s="99">
        <f>2829.6+2889.07</f>
        <v>5718.67</v>
      </c>
      <c r="F33" s="99">
        <f>3126.83+2495.93</f>
        <v>5622.76</v>
      </c>
      <c r="G33" s="99">
        <f>3110.47+2495.93</f>
        <v>5606.4</v>
      </c>
      <c r="H33" s="99">
        <f>2800.47+2822.27</f>
        <v>5622.74</v>
      </c>
      <c r="I33" s="99">
        <v>5622.74</v>
      </c>
      <c r="J33" s="99">
        <f>4084.02</f>
        <v>4084.02</v>
      </c>
      <c r="K33" s="99">
        <f>1538.72+2450.41+3172.33</f>
        <v>7161.46</v>
      </c>
      <c r="L33" s="99">
        <f>4082.02+1538.72</f>
        <v>5620.74</v>
      </c>
      <c r="M33" s="99">
        <v>3289.01</v>
      </c>
      <c r="N33" s="99">
        <f>2917.16+2333.73+2705.58</f>
        <v>7956.469999999999</v>
      </c>
      <c r="O33" s="99">
        <f t="shared" si="6"/>
        <v>64891.759999999995</v>
      </c>
      <c r="Y33" s="110"/>
    </row>
    <row r="34" spans="2:25" s="109" customFormat="1" ht="12">
      <c r="B34" s="99" t="s">
        <v>26</v>
      </c>
      <c r="C34" s="99"/>
      <c r="D34" s="99">
        <v>362.28</v>
      </c>
      <c r="E34" s="99">
        <v>852.84</v>
      </c>
      <c r="F34" s="99">
        <v>362.28</v>
      </c>
      <c r="G34" s="99">
        <v>362.28</v>
      </c>
      <c r="H34" s="99">
        <v>362.28</v>
      </c>
      <c r="I34" s="99">
        <f>10036.81-9674.53</f>
        <v>362.27999999999884</v>
      </c>
      <c r="J34" s="99">
        <v>808.8</v>
      </c>
      <c r="K34" s="99">
        <f>446.52+5235.08</f>
        <v>5681.6</v>
      </c>
      <c r="L34" s="99">
        <v>446.52</v>
      </c>
      <c r="M34" s="99">
        <v>446.52</v>
      </c>
      <c r="N34" s="99">
        <v>446.52</v>
      </c>
      <c r="O34" s="99">
        <f t="shared" si="6"/>
        <v>10494.2</v>
      </c>
      <c r="Y34" s="110"/>
    </row>
    <row r="35" spans="2:25" s="109" customFormat="1" ht="12">
      <c r="B35" s="111" t="s">
        <v>33</v>
      </c>
      <c r="C35" s="99">
        <v>33.73</v>
      </c>
      <c r="D35" s="99">
        <v>33.73</v>
      </c>
      <c r="E35" s="99">
        <v>33.73</v>
      </c>
      <c r="F35" s="99">
        <v>33.73</v>
      </c>
      <c r="G35" s="99">
        <v>33.73</v>
      </c>
      <c r="H35" s="99">
        <v>33.73</v>
      </c>
      <c r="I35" s="99">
        <v>33.73</v>
      </c>
      <c r="J35" s="99">
        <v>33.73</v>
      </c>
      <c r="K35" s="99">
        <v>33.73</v>
      </c>
      <c r="L35" s="99">
        <v>33.73</v>
      </c>
      <c r="M35" s="99">
        <v>33.73</v>
      </c>
      <c r="N35" s="99">
        <v>33.73</v>
      </c>
      <c r="O35" s="99">
        <f t="shared" si="6"/>
        <v>404.76000000000005</v>
      </c>
      <c r="Y35" s="110"/>
    </row>
    <row r="36" spans="2:25" s="109" customFormat="1" ht="12">
      <c r="B36" s="99" t="s">
        <v>34</v>
      </c>
      <c r="C36" s="99">
        <v>1900</v>
      </c>
      <c r="D36" s="99">
        <v>3900</v>
      </c>
      <c r="E36" s="99">
        <f>1950+1950</f>
        <v>3900</v>
      </c>
      <c r="F36" s="99">
        <f>1950+1950</f>
        <v>3900</v>
      </c>
      <c r="G36" s="99">
        <f>1950+1950</f>
        <v>3900</v>
      </c>
      <c r="H36" s="99">
        <f>1950+1950</f>
        <v>3900</v>
      </c>
      <c r="I36" s="99"/>
      <c r="J36" s="99"/>
      <c r="K36" s="99"/>
      <c r="L36" s="99">
        <v>3900</v>
      </c>
      <c r="M36" s="99">
        <v>1950</v>
      </c>
      <c r="N36" s="99">
        <f>1950+2000</f>
        <v>3950</v>
      </c>
      <c r="O36" s="99">
        <f t="shared" si="6"/>
        <v>31200</v>
      </c>
      <c r="Y36" s="110"/>
    </row>
    <row r="37" spans="2:25" s="109" customFormat="1" ht="12">
      <c r="B37" s="99" t="s">
        <v>30</v>
      </c>
      <c r="C37" s="99"/>
      <c r="D37" s="99"/>
      <c r="E37" s="99"/>
      <c r="F37" s="99">
        <v>4050</v>
      </c>
      <c r="G37" s="99"/>
      <c r="H37" s="99"/>
      <c r="I37" s="99">
        <v>4050</v>
      </c>
      <c r="J37" s="99">
        <v>1350</v>
      </c>
      <c r="K37" s="99">
        <v>1350</v>
      </c>
      <c r="L37" s="99"/>
      <c r="M37" s="99">
        <v>1350</v>
      </c>
      <c r="N37" s="99">
        <v>1350</v>
      </c>
      <c r="O37" s="99">
        <f t="shared" si="6"/>
        <v>13500</v>
      </c>
      <c r="Y37" s="110"/>
    </row>
    <row r="38" spans="2:25" s="109" customFormat="1" ht="12">
      <c r="B38" s="99" t="s">
        <v>36</v>
      </c>
      <c r="C38" s="99">
        <v>1958.72</v>
      </c>
      <c r="D38" s="99">
        <v>1958.72</v>
      </c>
      <c r="E38" s="99">
        <v>1958.72</v>
      </c>
      <c r="F38" s="99">
        <v>1958.72</v>
      </c>
      <c r="G38" s="99">
        <v>1958.72</v>
      </c>
      <c r="H38" s="99">
        <v>1149.99</v>
      </c>
      <c r="I38" s="99">
        <f>2322.44+851.29</f>
        <v>3173.73</v>
      </c>
      <c r="J38" s="99">
        <f>1298.23+778.88</f>
        <v>2077.11</v>
      </c>
      <c r="K38" s="99">
        <f>1287.16+789.95</f>
        <v>2077.11</v>
      </c>
      <c r="L38" s="99">
        <f>1403.5+673.61</f>
        <v>2077.11</v>
      </c>
      <c r="M38" s="99">
        <f>1361.41+715.7</f>
        <v>2077.11</v>
      </c>
      <c r="N38" s="99">
        <f>1447.93+629.18</f>
        <v>2077.11</v>
      </c>
      <c r="O38" s="99">
        <f t="shared" si="6"/>
        <v>24502.870000000003</v>
      </c>
      <c r="Y38" s="110"/>
    </row>
    <row r="39" spans="2:25" s="109" customFormat="1" ht="12">
      <c r="B39" s="99" t="s">
        <v>35</v>
      </c>
      <c r="C39" s="99">
        <v>447.27</v>
      </c>
      <c r="D39" s="99">
        <v>447.27</v>
      </c>
      <c r="E39" s="99">
        <v>447.27</v>
      </c>
      <c r="F39" s="99">
        <v>447.27</v>
      </c>
      <c r="G39" s="99">
        <v>447.27</v>
      </c>
      <c r="H39" s="99">
        <v>447.27</v>
      </c>
      <c r="I39" s="99">
        <v>538.51</v>
      </c>
      <c r="J39" s="99">
        <v>538.51</v>
      </c>
      <c r="K39" s="99">
        <v>538.51</v>
      </c>
      <c r="L39" s="99">
        <v>538.51</v>
      </c>
      <c r="M39" s="99">
        <v>538.51</v>
      </c>
      <c r="N39" s="99">
        <v>538.51</v>
      </c>
      <c r="O39" s="99">
        <f t="shared" si="6"/>
        <v>5914.680000000001</v>
      </c>
      <c r="Y39" s="110"/>
    </row>
    <row r="40" spans="2:25" s="109" customFormat="1" ht="12">
      <c r="B40" s="99" t="s">
        <v>29</v>
      </c>
      <c r="C40" s="99">
        <v>97.67</v>
      </c>
      <c r="D40" s="99">
        <v>282.98</v>
      </c>
      <c r="E40" s="99">
        <v>83.29</v>
      </c>
      <c r="F40" s="99">
        <v>165.21</v>
      </c>
      <c r="G40" s="99"/>
      <c r="H40" s="99">
        <v>100.59</v>
      </c>
      <c r="I40" s="99">
        <v>100.59</v>
      </c>
      <c r="J40" s="99">
        <v>224.24</v>
      </c>
      <c r="K40" s="99">
        <v>159.41</v>
      </c>
      <c r="L40" s="99">
        <v>178.82</v>
      </c>
      <c r="M40" s="99">
        <v>178.82</v>
      </c>
      <c r="N40" s="99">
        <v>101.91</v>
      </c>
      <c r="O40" s="99">
        <f t="shared" si="6"/>
        <v>1673.5300000000002</v>
      </c>
      <c r="Y40" s="110"/>
    </row>
    <row r="41" spans="2:25" s="109" customFormat="1" ht="12">
      <c r="B41" s="99" t="s">
        <v>39</v>
      </c>
      <c r="C41" s="99">
        <v>2217.08</v>
      </c>
      <c r="D41" s="99">
        <f>832.15+2341.18</f>
        <v>3173.33</v>
      </c>
      <c r="E41" s="99">
        <v>365.67</v>
      </c>
      <c r="F41" s="99">
        <v>1881.3</v>
      </c>
      <c r="G41" s="99">
        <v>1881.3</v>
      </c>
      <c r="H41" s="99">
        <v>1738.13</v>
      </c>
      <c r="I41" s="99">
        <v>1000</v>
      </c>
      <c r="J41" s="99">
        <v>1000</v>
      </c>
      <c r="K41" s="99">
        <v>970.9</v>
      </c>
      <c r="L41" s="99">
        <v>1000</v>
      </c>
      <c r="M41" s="99">
        <v>1500</v>
      </c>
      <c r="N41" s="99">
        <v>1500</v>
      </c>
      <c r="O41" s="99">
        <f t="shared" si="6"/>
        <v>18227.71</v>
      </c>
      <c r="Y41" s="110"/>
    </row>
    <row r="42" spans="2:25" s="109" customFormat="1" ht="12">
      <c r="B42" s="99" t="s">
        <v>40</v>
      </c>
      <c r="C42" s="99"/>
      <c r="D42" s="99"/>
      <c r="E42" s="99"/>
      <c r="F42" s="99"/>
      <c r="G42" s="99"/>
      <c r="H42" s="99">
        <v>681.17</v>
      </c>
      <c r="I42" s="99">
        <v>681.17</v>
      </c>
      <c r="J42" s="99">
        <v>681.17</v>
      </c>
      <c r="K42" s="99"/>
      <c r="L42" s="99"/>
      <c r="M42" s="99"/>
      <c r="N42" s="99"/>
      <c r="O42" s="99">
        <f t="shared" si="6"/>
        <v>2043.5099999999998</v>
      </c>
      <c r="Y42" s="110"/>
    </row>
    <row r="43" spans="2:25" s="109" customFormat="1" ht="12">
      <c r="B43" s="99" t="s">
        <v>41</v>
      </c>
      <c r="C43" s="99"/>
      <c r="D43" s="99"/>
      <c r="E43" s="99"/>
      <c r="F43" s="99"/>
      <c r="G43" s="99">
        <v>11539.5</v>
      </c>
      <c r="H43" s="99">
        <v>30</v>
      </c>
      <c r="I43" s="99"/>
      <c r="J43" s="99"/>
      <c r="K43" s="99"/>
      <c r="L43" s="99"/>
      <c r="M43" s="99"/>
      <c r="N43" s="99"/>
      <c r="O43" s="99">
        <f t="shared" si="6"/>
        <v>11569.5</v>
      </c>
      <c r="Y43" s="110"/>
    </row>
    <row r="44" spans="2:25" s="109" customFormat="1" ht="12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Y44" s="110"/>
    </row>
    <row r="45" spans="2:25" s="109" customFormat="1" ht="12">
      <c r="B45" s="108" t="s">
        <v>42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Y45" s="110"/>
    </row>
    <row r="46" spans="2:25" s="109" customFormat="1" ht="12">
      <c r="B46" s="99" t="s">
        <v>45</v>
      </c>
      <c r="C46" s="99">
        <v>148.23</v>
      </c>
      <c r="D46" s="99">
        <v>148.23</v>
      </c>
      <c r="E46" s="99">
        <v>148.23</v>
      </c>
      <c r="F46" s="99">
        <v>148.23</v>
      </c>
      <c r="G46" s="99">
        <v>148.23</v>
      </c>
      <c r="H46" s="99">
        <v>148.23</v>
      </c>
      <c r="I46" s="99">
        <v>148.23</v>
      </c>
      <c r="J46" s="99">
        <v>148.23</v>
      </c>
      <c r="K46" s="99">
        <v>148.23</v>
      </c>
      <c r="L46" s="99">
        <v>148.23</v>
      </c>
      <c r="M46" s="99">
        <v>148.23</v>
      </c>
      <c r="N46" s="99">
        <v>148.23</v>
      </c>
      <c r="O46" s="99">
        <f t="shared" si="6"/>
        <v>1778.76</v>
      </c>
      <c r="Y46" s="110"/>
    </row>
    <row r="47" spans="2:25" s="109" customFormat="1" ht="12">
      <c r="B47" s="99" t="s">
        <v>126</v>
      </c>
      <c r="C47" s="99">
        <v>239.25</v>
      </c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>
        <f t="shared" si="6"/>
        <v>239.25</v>
      </c>
      <c r="Y47" s="110"/>
    </row>
    <row r="48" spans="2:25" s="109" customFormat="1" ht="12">
      <c r="B48" s="99" t="s">
        <v>46</v>
      </c>
      <c r="C48" s="99"/>
      <c r="D48" s="99">
        <f>520.85+58.82</f>
        <v>579.6700000000001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>
        <f t="shared" si="6"/>
        <v>579.6700000000001</v>
      </c>
      <c r="Y48" s="110"/>
    </row>
    <row r="49" spans="2:25" s="109" customFormat="1" ht="12">
      <c r="B49" s="99" t="s">
        <v>47</v>
      </c>
      <c r="C49" s="99"/>
      <c r="D49" s="99">
        <v>117.65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>
        <f t="shared" si="6"/>
        <v>117.65</v>
      </c>
      <c r="Y49" s="110"/>
    </row>
    <row r="50" spans="2:25" s="109" customFormat="1" ht="12">
      <c r="B50" s="111" t="s">
        <v>48</v>
      </c>
      <c r="C50" s="99"/>
      <c r="D50" s="99"/>
      <c r="E50" s="99">
        <v>17.65</v>
      </c>
      <c r="F50" s="99"/>
      <c r="G50" s="99"/>
      <c r="H50" s="99"/>
      <c r="I50" s="99"/>
      <c r="J50" s="99"/>
      <c r="K50" s="99"/>
      <c r="L50" s="99"/>
      <c r="M50" s="99"/>
      <c r="N50" s="99"/>
      <c r="O50" s="99">
        <f t="shared" si="6"/>
        <v>17.65</v>
      </c>
      <c r="Y50" s="110"/>
    </row>
    <row r="51" spans="2:25" s="109" customFormat="1" ht="12">
      <c r="B51" s="99" t="s">
        <v>50</v>
      </c>
      <c r="C51" s="99"/>
      <c r="D51" s="99"/>
      <c r="E51" s="112">
        <v>126.47</v>
      </c>
      <c r="F51" s="99"/>
      <c r="G51" s="99">
        <v>685</v>
      </c>
      <c r="H51" s="99">
        <v>735</v>
      </c>
      <c r="I51" s="99"/>
      <c r="J51" s="99">
        <v>25</v>
      </c>
      <c r="K51" s="99">
        <v>275</v>
      </c>
      <c r="L51" s="99">
        <v>32.5</v>
      </c>
      <c r="M51" s="99"/>
      <c r="N51" s="99"/>
      <c r="O51" s="99">
        <f t="shared" si="6"/>
        <v>1878.97</v>
      </c>
      <c r="Y51" s="110"/>
    </row>
    <row r="52" spans="2:25" s="109" customFormat="1" ht="12">
      <c r="B52" s="99" t="s">
        <v>51</v>
      </c>
      <c r="C52" s="99"/>
      <c r="D52" s="99"/>
      <c r="E52" s="99"/>
      <c r="F52" s="99"/>
      <c r="G52" s="99">
        <v>405.71</v>
      </c>
      <c r="H52" s="99">
        <f>116.92+58.46</f>
        <v>175.38</v>
      </c>
      <c r="I52" s="99">
        <v>103.54</v>
      </c>
      <c r="J52" s="99">
        <v>80.77</v>
      </c>
      <c r="K52" s="99"/>
      <c r="L52" s="99"/>
      <c r="M52" s="99"/>
      <c r="N52" s="99"/>
      <c r="O52" s="99">
        <f t="shared" si="6"/>
        <v>765.3999999999999</v>
      </c>
      <c r="Y52" s="110"/>
    </row>
    <row r="53" spans="2:25" s="109" customFormat="1" ht="12">
      <c r="B53" s="99" t="s">
        <v>68</v>
      </c>
      <c r="C53" s="99"/>
      <c r="D53" s="99"/>
      <c r="E53" s="99">
        <v>250</v>
      </c>
      <c r="F53" s="99"/>
      <c r="G53" s="99"/>
      <c r="H53" s="99"/>
      <c r="I53" s="99"/>
      <c r="J53" s="99"/>
      <c r="K53" s="99"/>
      <c r="L53" s="99"/>
      <c r="M53" s="99"/>
      <c r="N53" s="99"/>
      <c r="O53" s="99">
        <f t="shared" si="6"/>
        <v>250</v>
      </c>
      <c r="Y53" s="110"/>
    </row>
    <row r="54" spans="2:25" s="109" customFormat="1" ht="12">
      <c r="B54" s="99" t="s">
        <v>125</v>
      </c>
      <c r="C54" s="99"/>
      <c r="D54" s="99"/>
      <c r="E54" s="99">
        <v>500</v>
      </c>
      <c r="F54" s="99"/>
      <c r="G54" s="99"/>
      <c r="H54" s="99"/>
      <c r="I54" s="99"/>
      <c r="J54" s="99"/>
      <c r="K54" s="99"/>
      <c r="L54" s="99"/>
      <c r="M54" s="99"/>
      <c r="N54" s="99"/>
      <c r="O54" s="99">
        <f t="shared" si="6"/>
        <v>500</v>
      </c>
      <c r="Y54" s="110"/>
    </row>
    <row r="55" spans="2:25" s="109" customFormat="1" ht="12">
      <c r="B55" s="99" t="s">
        <v>130</v>
      </c>
      <c r="C55" s="99"/>
      <c r="D55" s="99"/>
      <c r="E55" s="99"/>
      <c r="F55" s="99"/>
      <c r="G55" s="99"/>
      <c r="H55" s="99"/>
      <c r="I55" s="99">
        <v>161.76</v>
      </c>
      <c r="J55" s="99"/>
      <c r="K55" s="99"/>
      <c r="L55" s="99"/>
      <c r="M55" s="99"/>
      <c r="N55" s="99"/>
      <c r="O55" s="99">
        <f t="shared" si="6"/>
        <v>161.76</v>
      </c>
      <c r="Y55" s="110"/>
    </row>
    <row r="56" spans="2:25" s="109" customFormat="1" ht="12">
      <c r="B56" s="99" t="s">
        <v>131</v>
      </c>
      <c r="C56" s="99"/>
      <c r="D56" s="99"/>
      <c r="E56" s="99"/>
      <c r="F56" s="99"/>
      <c r="G56" s="99"/>
      <c r="H56" s="99"/>
      <c r="I56" s="99">
        <v>75</v>
      </c>
      <c r="J56" s="99"/>
      <c r="K56" s="99"/>
      <c r="L56" s="99"/>
      <c r="M56" s="99"/>
      <c r="N56" s="99"/>
      <c r="O56" s="99">
        <f t="shared" si="6"/>
        <v>75</v>
      </c>
      <c r="Y56" s="110"/>
    </row>
    <row r="57" spans="2:25" s="109" customFormat="1" ht="12">
      <c r="B57" s="99" t="s">
        <v>132</v>
      </c>
      <c r="C57" s="99"/>
      <c r="D57" s="99"/>
      <c r="E57" s="99"/>
      <c r="F57" s="99"/>
      <c r="G57" s="99"/>
      <c r="H57" s="99"/>
      <c r="I57" s="99">
        <v>116</v>
      </c>
      <c r="J57" s="99"/>
      <c r="K57" s="99"/>
      <c r="L57" s="99"/>
      <c r="M57" s="99"/>
      <c r="N57" s="99"/>
      <c r="O57" s="99">
        <f t="shared" si="6"/>
        <v>116</v>
      </c>
      <c r="Y57" s="110"/>
    </row>
    <row r="58" spans="2:25" s="109" customFormat="1" ht="12">
      <c r="B58" s="111" t="s">
        <v>139</v>
      </c>
      <c r="C58" s="99"/>
      <c r="D58" s="99"/>
      <c r="E58" s="99"/>
      <c r="F58" s="99"/>
      <c r="G58" s="99"/>
      <c r="H58" s="99"/>
      <c r="I58" s="99"/>
      <c r="J58" s="99">
        <v>26.25</v>
      </c>
      <c r="K58" s="99"/>
      <c r="L58" s="99"/>
      <c r="M58" s="99"/>
      <c r="N58" s="99"/>
      <c r="O58" s="99">
        <f t="shared" si="6"/>
        <v>26.25</v>
      </c>
      <c r="Y58" s="110"/>
    </row>
    <row r="59" spans="2:25" s="109" customFormat="1" ht="12">
      <c r="B59" s="99" t="s">
        <v>207</v>
      </c>
      <c r="C59" s="99"/>
      <c r="D59" s="99"/>
      <c r="E59" s="99"/>
      <c r="F59" s="99"/>
      <c r="G59" s="99"/>
      <c r="H59" s="99"/>
      <c r="I59" s="99"/>
      <c r="J59" s="99">
        <v>175.03</v>
      </c>
      <c r="K59" s="99"/>
      <c r="L59" s="99">
        <v>195.32</v>
      </c>
      <c r="M59" s="99">
        <v>195.32</v>
      </c>
      <c r="N59" s="99">
        <v>260.42</v>
      </c>
      <c r="O59" s="99">
        <f t="shared" si="6"/>
        <v>826.0900000000001</v>
      </c>
      <c r="Y59" s="110"/>
    </row>
    <row r="60" spans="2:25" s="109" customFormat="1" ht="12">
      <c r="B60" s="99" t="s">
        <v>156</v>
      </c>
      <c r="C60" s="99"/>
      <c r="D60" s="99"/>
      <c r="E60" s="99"/>
      <c r="F60" s="99"/>
      <c r="G60" s="99"/>
      <c r="H60" s="99"/>
      <c r="I60" s="99"/>
      <c r="J60" s="99">
        <v>22.75</v>
      </c>
      <c r="K60" s="99"/>
      <c r="L60" s="99"/>
      <c r="M60" s="99"/>
      <c r="N60" s="99"/>
      <c r="O60" s="99">
        <f t="shared" si="6"/>
        <v>22.75</v>
      </c>
      <c r="Y60" s="110"/>
    </row>
    <row r="61" spans="2:25" s="109" customFormat="1" ht="12">
      <c r="B61" s="99" t="s">
        <v>157</v>
      </c>
      <c r="C61" s="99"/>
      <c r="D61" s="99"/>
      <c r="E61" s="99"/>
      <c r="F61" s="99"/>
      <c r="G61" s="99"/>
      <c r="H61" s="99"/>
      <c r="I61" s="99"/>
      <c r="J61" s="99"/>
      <c r="K61" s="99">
        <v>160.75</v>
      </c>
      <c r="L61" s="99"/>
      <c r="M61" s="99"/>
      <c r="N61" s="99"/>
      <c r="O61" s="99">
        <f t="shared" si="6"/>
        <v>160.75</v>
      </c>
      <c r="Y61" s="110"/>
    </row>
    <row r="62" spans="2:25" s="109" customFormat="1" ht="12">
      <c r="B62" s="99" t="s">
        <v>158</v>
      </c>
      <c r="C62" s="99"/>
      <c r="D62" s="99"/>
      <c r="E62" s="99"/>
      <c r="F62" s="99"/>
      <c r="G62" s="99"/>
      <c r="H62" s="99"/>
      <c r="I62" s="99"/>
      <c r="J62" s="99"/>
      <c r="K62" s="99">
        <v>8821.91</v>
      </c>
      <c r="L62" s="99"/>
      <c r="M62" s="99"/>
      <c r="N62" s="99"/>
      <c r="O62" s="99">
        <f t="shared" si="6"/>
        <v>8821.91</v>
      </c>
      <c r="Y62" s="110"/>
    </row>
    <row r="63" spans="2:25" s="109" customFormat="1" ht="12">
      <c r="B63" s="99" t="s">
        <v>211</v>
      </c>
      <c r="C63" s="99"/>
      <c r="D63" s="99"/>
      <c r="E63" s="99"/>
      <c r="F63" s="99"/>
      <c r="G63" s="99"/>
      <c r="H63" s="99"/>
      <c r="I63" s="99"/>
      <c r="J63" s="99"/>
      <c r="K63" s="99">
        <v>17.5</v>
      </c>
      <c r="L63" s="99"/>
      <c r="M63" s="99"/>
      <c r="N63" s="99"/>
      <c r="O63" s="99">
        <f t="shared" si="6"/>
        <v>17.5</v>
      </c>
      <c r="Y63" s="110"/>
    </row>
    <row r="64" spans="2:25" s="109" customFormat="1" ht="12">
      <c r="B64" s="99" t="s">
        <v>208</v>
      </c>
      <c r="C64" s="99"/>
      <c r="D64" s="99"/>
      <c r="E64" s="99"/>
      <c r="F64" s="99"/>
      <c r="G64" s="99"/>
      <c r="H64" s="99"/>
      <c r="I64" s="99"/>
      <c r="J64" s="99">
        <v>10773.61</v>
      </c>
      <c r="K64" s="99">
        <v>10920.58</v>
      </c>
      <c r="L64" s="99">
        <v>10898.66</v>
      </c>
      <c r="M64" s="99">
        <v>11432.14</v>
      </c>
      <c r="N64" s="99">
        <v>13229.09</v>
      </c>
      <c r="O64" s="99">
        <f t="shared" si="6"/>
        <v>57254.08</v>
      </c>
      <c r="Y64" s="110"/>
    </row>
    <row r="65" spans="2:25" s="109" customFormat="1" ht="12">
      <c r="B65" s="99" t="s">
        <v>189</v>
      </c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>
        <v>240.89</v>
      </c>
      <c r="N65" s="99"/>
      <c r="O65" s="99">
        <f t="shared" si="6"/>
        <v>240.89</v>
      </c>
      <c r="Y65" s="110"/>
    </row>
    <row r="66" spans="2:25" s="109" customFormat="1" ht="12">
      <c r="B66" s="99" t="s">
        <v>209</v>
      </c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>
        <v>200</v>
      </c>
      <c r="N66" s="99"/>
      <c r="O66" s="99">
        <f t="shared" si="6"/>
        <v>200</v>
      </c>
      <c r="Y66" s="110"/>
    </row>
    <row r="67" spans="2:25" s="109" customFormat="1" ht="12">
      <c r="B67" s="99" t="s">
        <v>191</v>
      </c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>
        <v>10.31</v>
      </c>
      <c r="N67" s="99"/>
      <c r="O67" s="99">
        <f t="shared" si="6"/>
        <v>10.31</v>
      </c>
      <c r="Y67" s="110"/>
    </row>
    <row r="68" spans="2:25" s="109" customFormat="1" ht="12">
      <c r="B68" s="99" t="s">
        <v>210</v>
      </c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>
        <v>1800</v>
      </c>
      <c r="N68" s="99"/>
      <c r="O68" s="99">
        <f t="shared" si="6"/>
        <v>1800</v>
      </c>
      <c r="Y68" s="110"/>
    </row>
    <row r="69" spans="2:25" s="109" customFormat="1" ht="12">
      <c r="B69" s="99" t="s">
        <v>165</v>
      </c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>
        <v>58.34</v>
      </c>
      <c r="O69" s="99">
        <f t="shared" si="6"/>
        <v>58.34</v>
      </c>
      <c r="Y69" s="110"/>
    </row>
    <row r="70" spans="2:25" s="109" customFormat="1" ht="12">
      <c r="B70" s="108" t="s">
        <v>16</v>
      </c>
      <c r="C70" s="108">
        <f aca="true" t="shared" si="7" ref="C70:O70">SUM(C30:C69)</f>
        <v>24322.94</v>
      </c>
      <c r="D70" s="108">
        <f t="shared" si="7"/>
        <v>32277.28</v>
      </c>
      <c r="E70" s="108">
        <f t="shared" si="7"/>
        <v>30163.600000000002</v>
      </c>
      <c r="F70" s="108">
        <f t="shared" si="7"/>
        <v>33132.64000000001</v>
      </c>
      <c r="G70" s="108">
        <f t="shared" si="7"/>
        <v>42911.86</v>
      </c>
      <c r="H70" s="108">
        <f t="shared" si="7"/>
        <v>29687.929999999997</v>
      </c>
      <c r="I70" s="108">
        <f t="shared" si="7"/>
        <v>30812.27999999999</v>
      </c>
      <c r="J70" s="108">
        <f t="shared" si="7"/>
        <v>35151.28999999999</v>
      </c>
      <c r="K70" s="108">
        <f t="shared" si="7"/>
        <v>51591.82000000001</v>
      </c>
      <c r="L70" s="108">
        <f t="shared" si="7"/>
        <v>38910.31</v>
      </c>
      <c r="M70" s="108">
        <f t="shared" si="7"/>
        <v>38524.759999999995</v>
      </c>
      <c r="N70" s="108">
        <f t="shared" si="7"/>
        <v>44965.149999999994</v>
      </c>
      <c r="O70" s="108">
        <f t="shared" si="7"/>
        <v>433618.72000000015</v>
      </c>
      <c r="Y70" s="110"/>
    </row>
    <row r="72" spans="2:15" ht="12">
      <c r="B72" s="152" t="s">
        <v>149</v>
      </c>
      <c r="C72" s="153">
        <f>C6+C22-C70</f>
        <v>-53768.520000000004</v>
      </c>
      <c r="D72" s="153">
        <f aca="true" t="shared" si="8" ref="D72:O72">D7+D22-D70</f>
        <v>-80778.18</v>
      </c>
      <c r="E72" s="153">
        <f t="shared" si="8"/>
        <v>-101002.6</v>
      </c>
      <c r="F72" s="153">
        <f t="shared" si="8"/>
        <v>-120378.16</v>
      </c>
      <c r="G72" s="153">
        <f t="shared" si="8"/>
        <v>-38635.62000000001</v>
      </c>
      <c r="H72" s="153">
        <f t="shared" si="8"/>
        <v>-42524.280000000006</v>
      </c>
      <c r="I72" s="153">
        <f t="shared" si="8"/>
        <v>-43499.84</v>
      </c>
      <c r="J72" s="153">
        <f t="shared" si="8"/>
        <v>-40780.249999999985</v>
      </c>
      <c r="K72" s="153">
        <f t="shared" si="8"/>
        <v>-46624.35999999999</v>
      </c>
      <c r="L72" s="153">
        <f t="shared" si="8"/>
        <v>-34720.659999999996</v>
      </c>
      <c r="M72" s="153">
        <f t="shared" si="8"/>
        <v>-19577.399999999994</v>
      </c>
      <c r="N72" s="153">
        <f t="shared" si="8"/>
        <v>-23106.969999999987</v>
      </c>
      <c r="O72" s="154">
        <f t="shared" si="8"/>
        <v>-24273.830000000133</v>
      </c>
    </row>
    <row r="73" spans="2:15" ht="12">
      <c r="B73" s="117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6"/>
    </row>
    <row r="74" spans="2:15" ht="12">
      <c r="B74" s="117"/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6"/>
    </row>
    <row r="75" ht="12">
      <c r="B75" s="86" t="s">
        <v>24</v>
      </c>
    </row>
    <row r="76" ht="12">
      <c r="B76" s="86" t="s">
        <v>25</v>
      </c>
    </row>
  </sheetData>
  <sheetProtection selectLockedCells="1" selectUnlockedCells="1"/>
  <mergeCells count="3">
    <mergeCell ref="B1:O1"/>
    <mergeCell ref="B2:O2"/>
    <mergeCell ref="B3:O3"/>
  </mergeCells>
  <printOptions/>
  <pageMargins left="1.57" right="0.7875" top="0.64" bottom="0.56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Y79"/>
  <sheetViews>
    <sheetView zoomScalePageLayoutView="0" workbookViewId="0" topLeftCell="A1">
      <pane xSplit="2" ySplit="5" topLeftCell="C5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74" sqref="Q74"/>
    </sheetView>
  </sheetViews>
  <sheetFormatPr defaultColWidth="26.75390625" defaultRowHeight="12.75"/>
  <cols>
    <col min="1" max="1" width="20.125" style="86" customWidth="1"/>
    <col min="2" max="2" width="44.25390625" style="86" customWidth="1"/>
    <col min="3" max="3" width="8.625" style="86" hidden="1" customWidth="1"/>
    <col min="4" max="5" width="9.375" style="86" hidden="1" customWidth="1"/>
    <col min="6" max="6" width="10.25390625" style="86" hidden="1" customWidth="1"/>
    <col min="7" max="7" width="9.125" style="86" hidden="1" customWidth="1"/>
    <col min="8" max="8" width="9.00390625" style="86" hidden="1" customWidth="1"/>
    <col min="9" max="9" width="8.875" style="86" hidden="1" customWidth="1"/>
    <col min="10" max="10" width="9.25390625" style="86" hidden="1" customWidth="1"/>
    <col min="11" max="11" width="11.25390625" style="86" hidden="1" customWidth="1"/>
    <col min="12" max="12" width="9.75390625" style="86" hidden="1" customWidth="1"/>
    <col min="13" max="13" width="8.75390625" style="86" hidden="1" customWidth="1"/>
    <col min="14" max="14" width="9.25390625" style="86" hidden="1" customWidth="1"/>
    <col min="15" max="15" width="9.25390625" style="87" customWidth="1"/>
    <col min="16" max="16" width="7.625" style="86" customWidth="1"/>
    <col min="17" max="24" width="26.75390625" style="86" customWidth="1"/>
    <col min="25" max="25" width="26.75390625" style="87" customWidth="1"/>
    <col min="26" max="16384" width="26.75390625" style="86" customWidth="1"/>
  </cols>
  <sheetData>
    <row r="1" spans="2:16" ht="12">
      <c r="B1" s="194" t="s">
        <v>151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85"/>
    </row>
    <row r="2" spans="2:16" ht="12">
      <c r="B2" s="194" t="s">
        <v>152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85"/>
    </row>
    <row r="3" spans="2:16" ht="12">
      <c r="B3" s="195" t="s">
        <v>112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</row>
    <row r="4" spans="2:16" ht="12"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</row>
    <row r="5" spans="2:15" ht="24">
      <c r="B5" s="90" t="s">
        <v>113</v>
      </c>
      <c r="C5" s="91" t="s">
        <v>0</v>
      </c>
      <c r="D5" s="91" t="s">
        <v>1</v>
      </c>
      <c r="E5" s="91" t="s">
        <v>2</v>
      </c>
      <c r="F5" s="91" t="s">
        <v>3</v>
      </c>
      <c r="G5" s="91" t="s">
        <v>4</v>
      </c>
      <c r="H5" s="91" t="s">
        <v>5</v>
      </c>
      <c r="I5" s="91" t="s">
        <v>6</v>
      </c>
      <c r="J5" s="91" t="s">
        <v>7</v>
      </c>
      <c r="K5" s="91" t="s">
        <v>8</v>
      </c>
      <c r="L5" s="91" t="s">
        <v>9</v>
      </c>
      <c r="M5" s="91" t="s">
        <v>10</v>
      </c>
      <c r="N5" s="91" t="s">
        <v>11</v>
      </c>
      <c r="O5" s="92" t="s">
        <v>150</v>
      </c>
    </row>
    <row r="6" spans="2:15" ht="12">
      <c r="B6" s="94" t="s">
        <v>43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</row>
    <row r="7" spans="2:15" ht="12">
      <c r="B7" s="93" t="s">
        <v>13</v>
      </c>
      <c r="C7" s="93">
        <v>146477.48</v>
      </c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>
        <f>C7+D7+E7+F7+G7+H7+I7+J7+K7+L7+M7+N7</f>
        <v>146477.48</v>
      </c>
    </row>
    <row r="8" spans="2:15" ht="12" hidden="1">
      <c r="B8" s="93" t="s">
        <v>14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>
        <f>C8+D8+E8+F8+G8+H8+I8+J8+K8+L8+M8+N8</f>
        <v>0</v>
      </c>
    </row>
    <row r="9" spans="2:15" ht="12" hidden="1">
      <c r="B9" s="93" t="s">
        <v>15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>
        <f>C9+D9+E9+F9+G9+H9+I9+J9+K9+L9+M9+N9</f>
        <v>0</v>
      </c>
    </row>
    <row r="10" spans="2:15" s="87" customFormat="1" ht="12">
      <c r="B10" s="94" t="s">
        <v>16</v>
      </c>
      <c r="C10" s="94">
        <f>C7+C8+C9</f>
        <v>146477.48</v>
      </c>
      <c r="D10" s="94">
        <f aca="true" t="shared" si="0" ref="D10:I10">C76</f>
        <v>148908.63999999998</v>
      </c>
      <c r="E10" s="94">
        <f t="shared" si="0"/>
        <v>144190.43999999997</v>
      </c>
      <c r="F10" s="94">
        <f t="shared" si="0"/>
        <v>162800.43999999997</v>
      </c>
      <c r="G10" s="94">
        <f t="shared" si="0"/>
        <v>169305.93</v>
      </c>
      <c r="H10" s="94">
        <f t="shared" si="0"/>
        <v>144433.36</v>
      </c>
      <c r="I10" s="94">
        <f t="shared" si="0"/>
        <v>148425.58999999997</v>
      </c>
      <c r="J10" s="94">
        <f>I76</f>
        <v>143982.07999999996</v>
      </c>
      <c r="K10" s="94">
        <f>J76</f>
        <v>151804.23999999993</v>
      </c>
      <c r="L10" s="94">
        <f>K76</f>
        <v>155788.16999999993</v>
      </c>
      <c r="M10" s="94">
        <f>L76</f>
        <v>161212.9699999999</v>
      </c>
      <c r="N10" s="94">
        <f>M76</f>
        <v>161661.9799999999</v>
      </c>
      <c r="O10" s="94">
        <f>O7+O8+O9</f>
        <v>146477.48</v>
      </c>
    </row>
    <row r="11" spans="2:15" ht="12"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4"/>
    </row>
    <row r="12" spans="2:15" ht="12" hidden="1"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4"/>
    </row>
    <row r="13" spans="2:25" s="97" customFormat="1" ht="12">
      <c r="B13" s="95" t="s">
        <v>17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5"/>
      <c r="Y13" s="98"/>
    </row>
    <row r="14" spans="2:25" s="97" customFormat="1" ht="12">
      <c r="B14" s="96" t="s">
        <v>13</v>
      </c>
      <c r="C14" s="96">
        <v>31096.34</v>
      </c>
      <c r="D14" s="96">
        <v>31096.34</v>
      </c>
      <c r="E14" s="96">
        <v>31096.34</v>
      </c>
      <c r="F14" s="96">
        <v>31096.34</v>
      </c>
      <c r="G14" s="96">
        <v>31096.34</v>
      </c>
      <c r="H14" s="96">
        <v>31096.34</v>
      </c>
      <c r="I14" s="96">
        <v>34588.22</v>
      </c>
      <c r="J14" s="96">
        <v>34588.22</v>
      </c>
      <c r="K14" s="96">
        <v>34588.22</v>
      </c>
      <c r="L14" s="96">
        <v>34588.22</v>
      </c>
      <c r="M14" s="96">
        <v>34588.22</v>
      </c>
      <c r="N14" s="96">
        <v>34588.22</v>
      </c>
      <c r="O14" s="96">
        <f>C14+D14+E14+F14+G14+H14+I14+J14+K14+L14+M14+N14</f>
        <v>394107.36</v>
      </c>
      <c r="Y14" s="98"/>
    </row>
    <row r="15" spans="2:25" s="97" customFormat="1" ht="12" hidden="1">
      <c r="B15" s="96" t="s">
        <v>14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>
        <f>C15+D15+E15+F15+G15+H15+I15+J15+K15+L15+M15+N15</f>
        <v>0</v>
      </c>
      <c r="Y15" s="98"/>
    </row>
    <row r="16" spans="2:25" s="97" customFormat="1" ht="12" hidden="1">
      <c r="B16" s="96" t="s">
        <v>38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>
        <f>C16+D16+E16+F16+G16+H16+I16+J16+K16+L16+M16+N16</f>
        <v>0</v>
      </c>
      <c r="Y16" s="98"/>
    </row>
    <row r="17" spans="2:25" s="97" customFormat="1" ht="12">
      <c r="B17" s="99" t="s">
        <v>30</v>
      </c>
      <c r="C17" s="96">
        <v>1400</v>
      </c>
      <c r="D17" s="96">
        <v>1400</v>
      </c>
      <c r="E17" s="96">
        <v>1400</v>
      </c>
      <c r="F17" s="96">
        <v>1400</v>
      </c>
      <c r="G17" s="96">
        <v>1400</v>
      </c>
      <c r="H17" s="96">
        <v>1400</v>
      </c>
      <c r="I17" s="96"/>
      <c r="J17" s="96"/>
      <c r="K17" s="96"/>
      <c r="L17" s="96"/>
      <c r="M17" s="96"/>
      <c r="N17" s="96"/>
      <c r="O17" s="96">
        <f>C17+D17+E17+F17+G17+H17+I17+J17+K17+L17+M17+N17</f>
        <v>8400</v>
      </c>
      <c r="Y17" s="98"/>
    </row>
    <row r="18" spans="2:15" s="98" customFormat="1" ht="12">
      <c r="B18" s="95" t="s">
        <v>16</v>
      </c>
      <c r="C18" s="95">
        <f>SUM(C12:C17)</f>
        <v>32496.34</v>
      </c>
      <c r="D18" s="95">
        <f aca="true" t="shared" si="1" ref="D18:O18">SUM(D12:D17)</f>
        <v>32496.34</v>
      </c>
      <c r="E18" s="95">
        <f t="shared" si="1"/>
        <v>32496.34</v>
      </c>
      <c r="F18" s="95">
        <f t="shared" si="1"/>
        <v>32496.34</v>
      </c>
      <c r="G18" s="95">
        <f t="shared" si="1"/>
        <v>32496.34</v>
      </c>
      <c r="H18" s="95">
        <f t="shared" si="1"/>
        <v>32496.34</v>
      </c>
      <c r="I18" s="95">
        <f t="shared" si="1"/>
        <v>34588.22</v>
      </c>
      <c r="J18" s="95">
        <f t="shared" si="1"/>
        <v>34588.22</v>
      </c>
      <c r="K18" s="95">
        <f t="shared" si="1"/>
        <v>34588.22</v>
      </c>
      <c r="L18" s="95">
        <f t="shared" si="1"/>
        <v>34588.22</v>
      </c>
      <c r="M18" s="95">
        <f t="shared" si="1"/>
        <v>34588.22</v>
      </c>
      <c r="N18" s="95">
        <f t="shared" si="1"/>
        <v>34588.22</v>
      </c>
      <c r="O18" s="95">
        <f t="shared" si="1"/>
        <v>402507.36</v>
      </c>
    </row>
    <row r="19" spans="2:15" ht="12"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4"/>
    </row>
    <row r="20" spans="2:25" s="102" customFormat="1" ht="12">
      <c r="B20" s="100" t="s">
        <v>18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0"/>
      <c r="Y20" s="103"/>
    </row>
    <row r="21" spans="2:25" s="102" customFormat="1" ht="12">
      <c r="B21" s="101" t="s">
        <v>13</v>
      </c>
      <c r="C21" s="101">
        <f>22832.95+1500</f>
        <v>24332.95</v>
      </c>
      <c r="D21" s="101">
        <v>17249.15</v>
      </c>
      <c r="E21" s="101">
        <f>38809.59+1500</f>
        <v>40309.59</v>
      </c>
      <c r="F21" s="101">
        <f>30679.02+1500+1500</f>
        <v>33679.020000000004</v>
      </c>
      <c r="G21" s="101">
        <f>8029.59+1000</f>
        <v>9029.59</v>
      </c>
      <c r="H21" s="101">
        <f>28268.25+1599.4+1000</f>
        <v>30867.65</v>
      </c>
      <c r="I21" s="101">
        <f>22713.16+2106.09+1599.4+1000</f>
        <v>27418.65</v>
      </c>
      <c r="J21" s="101">
        <f>29680.51+555+1599.4+1000+250</f>
        <v>33084.91</v>
      </c>
      <c r="K21" s="101">
        <f>38896.47+1000+1599.4+725</f>
        <v>42220.87</v>
      </c>
      <c r="L21" s="101">
        <v>33228.42</v>
      </c>
      <c r="M21" s="101">
        <v>36632.8</v>
      </c>
      <c r="N21" s="101">
        <v>34138.82</v>
      </c>
      <c r="O21" s="101">
        <f>C21+D21+E21+F21+G21+H21+I21+J21+K21+L21+M21+N21</f>
        <v>362192.42</v>
      </c>
      <c r="Y21" s="103"/>
    </row>
    <row r="22" spans="2:25" s="102" customFormat="1" ht="12">
      <c r="B22" s="99" t="s">
        <v>30</v>
      </c>
      <c r="C22" s="101">
        <v>1274.63</v>
      </c>
      <c r="D22" s="101">
        <v>976.25</v>
      </c>
      <c r="E22" s="101">
        <v>1237.25</v>
      </c>
      <c r="F22" s="101">
        <v>1035.67</v>
      </c>
      <c r="G22" s="101">
        <v>885</v>
      </c>
      <c r="H22" s="101">
        <v>1384.62</v>
      </c>
      <c r="I22" s="101">
        <v>1231.17</v>
      </c>
      <c r="J22" s="101">
        <v>645.33</v>
      </c>
      <c r="K22" s="101">
        <v>306.38</v>
      </c>
      <c r="L22" s="101"/>
      <c r="M22" s="101"/>
      <c r="N22" s="101"/>
      <c r="O22" s="101">
        <f>C22+D22+E22+F22+G22+H22+I22+J22+K22+L22+M22+N22</f>
        <v>8976.3</v>
      </c>
      <c r="Y22" s="103"/>
    </row>
    <row r="23" spans="2:25" s="102" customFormat="1" ht="12">
      <c r="B23" s="99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Y23" s="103"/>
    </row>
    <row r="24" spans="2:15" s="103" customFormat="1" ht="12">
      <c r="B24" s="100" t="s">
        <v>16</v>
      </c>
      <c r="C24" s="100">
        <f aca="true" t="shared" si="2" ref="C24:O24">SUM(C21:C23)</f>
        <v>25607.58</v>
      </c>
      <c r="D24" s="100">
        <f t="shared" si="2"/>
        <v>18225.4</v>
      </c>
      <c r="E24" s="100">
        <f t="shared" si="2"/>
        <v>41546.84</v>
      </c>
      <c r="F24" s="100">
        <f t="shared" si="2"/>
        <v>34714.69</v>
      </c>
      <c r="G24" s="100">
        <f t="shared" si="2"/>
        <v>9914.59</v>
      </c>
      <c r="H24" s="100">
        <f t="shared" si="2"/>
        <v>32252.27</v>
      </c>
      <c r="I24" s="100">
        <f t="shared" si="2"/>
        <v>28649.82</v>
      </c>
      <c r="J24" s="100">
        <f t="shared" si="2"/>
        <v>33730.240000000005</v>
      </c>
      <c r="K24" s="100">
        <f t="shared" si="2"/>
        <v>42527.25</v>
      </c>
      <c r="L24" s="100">
        <f t="shared" si="2"/>
        <v>33228.42</v>
      </c>
      <c r="M24" s="100">
        <f t="shared" si="2"/>
        <v>36632.8</v>
      </c>
      <c r="N24" s="100">
        <f t="shared" si="2"/>
        <v>34138.82</v>
      </c>
      <c r="O24" s="100">
        <f t="shared" si="2"/>
        <v>371168.72</v>
      </c>
    </row>
    <row r="25" spans="2:15" ht="12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4"/>
    </row>
    <row r="26" spans="2:15" ht="12">
      <c r="B26" s="94" t="s">
        <v>19</v>
      </c>
      <c r="C26" s="104">
        <f aca="true" t="shared" si="3" ref="C26:O26">C24/C18</f>
        <v>0.788014280992875</v>
      </c>
      <c r="D26" s="104">
        <f t="shared" si="3"/>
        <v>0.5608446982029361</v>
      </c>
      <c r="E26" s="104">
        <f t="shared" si="3"/>
        <v>1.2785082873948266</v>
      </c>
      <c r="F26" s="104">
        <f t="shared" si="3"/>
        <v>1.0682646107223153</v>
      </c>
      <c r="G26" s="104">
        <f t="shared" si="3"/>
        <v>0.3050986664959808</v>
      </c>
      <c r="H26" s="104">
        <f t="shared" si="3"/>
        <v>0.9924893080266886</v>
      </c>
      <c r="I26" s="104">
        <f t="shared" si="3"/>
        <v>0.8283114887091616</v>
      </c>
      <c r="J26" s="104">
        <f t="shared" si="3"/>
        <v>0.9751944448138703</v>
      </c>
      <c r="K26" s="104">
        <f t="shared" si="3"/>
        <v>1.2295298804043688</v>
      </c>
      <c r="L26" s="104">
        <f t="shared" si="3"/>
        <v>0.9606860370380434</v>
      </c>
      <c r="M26" s="104">
        <f t="shared" si="3"/>
        <v>1.059112032940695</v>
      </c>
      <c r="N26" s="104">
        <f t="shared" si="3"/>
        <v>0.9870071371119994</v>
      </c>
      <c r="O26" s="105">
        <f t="shared" si="3"/>
        <v>0.9221414485439471</v>
      </c>
    </row>
    <row r="27" spans="2:15" ht="12">
      <c r="B27" s="9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6"/>
    </row>
    <row r="28" spans="2:15" ht="12">
      <c r="B28" s="94" t="s">
        <v>20</v>
      </c>
      <c r="C28" s="107">
        <f aca="true" t="shared" si="4" ref="C28:O28">C18-C24</f>
        <v>6888.759999999998</v>
      </c>
      <c r="D28" s="107">
        <f t="shared" si="4"/>
        <v>14270.939999999999</v>
      </c>
      <c r="E28" s="107">
        <f t="shared" si="4"/>
        <v>-9050.499999999996</v>
      </c>
      <c r="F28" s="107">
        <f t="shared" si="4"/>
        <v>-2218.350000000002</v>
      </c>
      <c r="G28" s="107">
        <f t="shared" si="4"/>
        <v>22581.75</v>
      </c>
      <c r="H28" s="107">
        <f t="shared" si="4"/>
        <v>244.0699999999997</v>
      </c>
      <c r="I28" s="107">
        <f t="shared" si="4"/>
        <v>5938.4000000000015</v>
      </c>
      <c r="J28" s="107">
        <f t="shared" si="4"/>
        <v>857.9799999999959</v>
      </c>
      <c r="K28" s="107">
        <f t="shared" si="4"/>
        <v>-7939.029999999999</v>
      </c>
      <c r="L28" s="107">
        <f t="shared" si="4"/>
        <v>1359.800000000003</v>
      </c>
      <c r="M28" s="107">
        <f t="shared" si="4"/>
        <v>-2044.5800000000017</v>
      </c>
      <c r="N28" s="107">
        <f t="shared" si="4"/>
        <v>449.40000000000146</v>
      </c>
      <c r="O28" s="107">
        <f t="shared" si="4"/>
        <v>31338.640000000014</v>
      </c>
    </row>
    <row r="29" spans="2:15" ht="12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/>
    </row>
    <row r="30" spans="2:25" s="109" customFormat="1" ht="12">
      <c r="B30" s="108" t="s">
        <v>21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108"/>
      <c r="Y30" s="110"/>
    </row>
    <row r="31" spans="2:25" s="109" customFormat="1" ht="12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108"/>
      <c r="Y31" s="110"/>
    </row>
    <row r="32" spans="2:25" s="109" customFormat="1" ht="12">
      <c r="B32" s="99" t="s">
        <v>22</v>
      </c>
      <c r="C32" s="99">
        <v>235.86</v>
      </c>
      <c r="D32" s="99">
        <v>186.05</v>
      </c>
      <c r="E32" s="99">
        <v>463.54</v>
      </c>
      <c r="F32" s="99">
        <f>255.1+52.42</f>
        <v>307.52</v>
      </c>
      <c r="G32" s="99">
        <f>1688.1</f>
        <v>1688.1</v>
      </c>
      <c r="H32" s="99">
        <f>190.11+116.63</f>
        <v>306.74</v>
      </c>
      <c r="I32" s="99">
        <v>269.38</v>
      </c>
      <c r="J32" s="99">
        <v>274.94</v>
      </c>
      <c r="K32" s="99">
        <v>246.09</v>
      </c>
      <c r="L32" s="99">
        <f>342.99+306.38</f>
        <v>649.37</v>
      </c>
      <c r="M32" s="99">
        <v>111.11</v>
      </c>
      <c r="N32" s="99">
        <v>291.76</v>
      </c>
      <c r="O32" s="99">
        <f>C32+D32+E32+F32+G32+H32+I32+J32+K32+L32+M32+N32</f>
        <v>5030.46</v>
      </c>
      <c r="Y32" s="110"/>
    </row>
    <row r="33" spans="2:25" s="109" customFormat="1" ht="12">
      <c r="B33" s="99" t="s">
        <v>185</v>
      </c>
      <c r="C33" s="99">
        <v>10945.91</v>
      </c>
      <c r="D33" s="99">
        <v>10945.91</v>
      </c>
      <c r="E33" s="99">
        <v>10945.91</v>
      </c>
      <c r="F33" s="99">
        <v>10945.91</v>
      </c>
      <c r="G33" s="99">
        <v>10945.91</v>
      </c>
      <c r="H33" s="99">
        <v>10945.91</v>
      </c>
      <c r="I33" s="99">
        <v>10945.91</v>
      </c>
      <c r="J33" s="99">
        <v>10538.71</v>
      </c>
      <c r="K33" s="99">
        <v>10734.54</v>
      </c>
      <c r="L33" s="99">
        <v>10734.54</v>
      </c>
      <c r="M33" s="99">
        <v>10734.54</v>
      </c>
      <c r="N33" s="99">
        <v>10734.54</v>
      </c>
      <c r="O33" s="99">
        <f aca="true" t="shared" si="5" ref="O33:O73">C33+D33+E33+F33+G33+H33+I33+J33+K33+L33+M33+N33</f>
        <v>130098.24000000005</v>
      </c>
      <c r="Y33" s="110"/>
    </row>
    <row r="34" spans="2:25" s="109" customFormat="1" ht="12">
      <c r="B34" s="99" t="s">
        <v>31</v>
      </c>
      <c r="C34" s="99">
        <f>1537.9+1266.85</f>
        <v>2804.75</v>
      </c>
      <c r="D34" s="99">
        <f>1537.9+2449.67</f>
        <v>3987.57</v>
      </c>
      <c r="E34" s="99">
        <f>1537.9+1000+418.07</f>
        <v>2955.9700000000003</v>
      </c>
      <c r="F34" s="99">
        <f>1000+881.89</f>
        <v>1881.8899999999999</v>
      </c>
      <c r="G34" s="99">
        <f>1000+881.89</f>
        <v>1881.8899999999999</v>
      </c>
      <c r="H34" s="99">
        <f>1000+881.89</f>
        <v>1881.8899999999999</v>
      </c>
      <c r="I34" s="99">
        <v>2984.59</v>
      </c>
      <c r="J34" s="99">
        <v>2282.59</v>
      </c>
      <c r="K34" s="99">
        <v>2282.59</v>
      </c>
      <c r="L34" s="99">
        <v>2282.59</v>
      </c>
      <c r="M34" s="99">
        <v>2282.59</v>
      </c>
      <c r="N34" s="99">
        <v>2282.59</v>
      </c>
      <c r="O34" s="99">
        <f>C34+D34+E34+F34+G34+H34+I34+J34+K34+L34+M34+N34+1166.33</f>
        <v>30957.83</v>
      </c>
      <c r="Y34" s="110"/>
    </row>
    <row r="35" spans="2:25" s="109" customFormat="1" ht="12">
      <c r="B35" s="99" t="s">
        <v>32</v>
      </c>
      <c r="C35" s="99">
        <v>2871.71</v>
      </c>
      <c r="D35" s="99"/>
      <c r="E35" s="99"/>
      <c r="F35" s="99"/>
      <c r="G35" s="99"/>
      <c r="H35" s="99">
        <f>2799.2+2820.96</f>
        <v>5620.16</v>
      </c>
      <c r="I35" s="99">
        <v>5620.16</v>
      </c>
      <c r="J35" s="99">
        <f>4082.16</f>
        <v>4082.16</v>
      </c>
      <c r="K35" s="99">
        <f>1538+2449.3+3170.88</f>
        <v>7158.18</v>
      </c>
      <c r="L35" s="99">
        <f>4082.16+1538.02</f>
        <v>5620.18</v>
      </c>
      <c r="M35" s="99">
        <v>3287.52</v>
      </c>
      <c r="N35" s="99">
        <f>2915.83+2332.66+2704.35</f>
        <v>7952.84</v>
      </c>
      <c r="O35" s="99">
        <f t="shared" si="5"/>
        <v>42212.91</v>
      </c>
      <c r="Y35" s="110"/>
    </row>
    <row r="36" spans="2:25" s="109" customFormat="1" ht="12">
      <c r="B36" s="99" t="s">
        <v>26</v>
      </c>
      <c r="C36" s="99"/>
      <c r="D36" s="99">
        <v>362.75</v>
      </c>
      <c r="E36" s="99">
        <v>362.75</v>
      </c>
      <c r="F36" s="99">
        <v>1377.41</v>
      </c>
      <c r="G36" s="99">
        <v>362.75</v>
      </c>
      <c r="H36" s="99">
        <v>362.75</v>
      </c>
      <c r="I36" s="99">
        <f>10032.88-9670.13</f>
        <v>362.75</v>
      </c>
      <c r="J36" s="99">
        <v>809.07</v>
      </c>
      <c r="K36" s="99">
        <f>14474.93-14028.61</f>
        <v>446.3199999999997</v>
      </c>
      <c r="L36" s="99">
        <v>446.32</v>
      </c>
      <c r="M36" s="99">
        <v>446.32</v>
      </c>
      <c r="N36" s="99">
        <v>446.32</v>
      </c>
      <c r="O36" s="99">
        <f t="shared" si="5"/>
        <v>5785.509999999998</v>
      </c>
      <c r="Y36" s="110"/>
    </row>
    <row r="37" spans="2:25" s="109" customFormat="1" ht="12">
      <c r="B37" s="111" t="s">
        <v>33</v>
      </c>
      <c r="C37" s="99">
        <v>33.72</v>
      </c>
      <c r="D37" s="99">
        <v>33.72</v>
      </c>
      <c r="E37" s="99">
        <v>33.72</v>
      </c>
      <c r="F37" s="99">
        <v>33.72</v>
      </c>
      <c r="G37" s="99">
        <v>33.72</v>
      </c>
      <c r="H37" s="99">
        <v>33.72</v>
      </c>
      <c r="I37" s="99">
        <v>33.72</v>
      </c>
      <c r="J37" s="99">
        <v>33.72</v>
      </c>
      <c r="K37" s="99">
        <v>33.72</v>
      </c>
      <c r="L37" s="99">
        <v>33.72</v>
      </c>
      <c r="M37" s="99">
        <v>33.72</v>
      </c>
      <c r="N37" s="99">
        <v>33.72</v>
      </c>
      <c r="O37" s="99">
        <f t="shared" si="5"/>
        <v>404.6400000000001</v>
      </c>
      <c r="Y37" s="110"/>
    </row>
    <row r="38" spans="2:25" s="109" customFormat="1" ht="12">
      <c r="B38" s="99" t="s">
        <v>34</v>
      </c>
      <c r="C38" s="99">
        <f>1900</f>
        <v>1900</v>
      </c>
      <c r="D38" s="99">
        <v>3900</v>
      </c>
      <c r="E38" s="99">
        <f>1950+1950</f>
        <v>3900</v>
      </c>
      <c r="F38" s="99">
        <f>1950+1950</f>
        <v>3900</v>
      </c>
      <c r="G38" s="99">
        <v>3900</v>
      </c>
      <c r="H38" s="99">
        <v>3900</v>
      </c>
      <c r="I38" s="99"/>
      <c r="J38" s="99"/>
      <c r="K38" s="99"/>
      <c r="L38" s="99">
        <v>3900</v>
      </c>
      <c r="M38" s="99">
        <v>1950</v>
      </c>
      <c r="N38" s="99">
        <f>1950+2000</f>
        <v>3950</v>
      </c>
      <c r="O38" s="99">
        <f t="shared" si="5"/>
        <v>31200</v>
      </c>
      <c r="Y38" s="110"/>
    </row>
    <row r="39" spans="2:25" s="109" customFormat="1" ht="12">
      <c r="B39" s="99" t="s">
        <v>30</v>
      </c>
      <c r="C39" s="99"/>
      <c r="D39" s="99"/>
      <c r="E39" s="99"/>
      <c r="F39" s="99">
        <v>4050</v>
      </c>
      <c r="G39" s="99"/>
      <c r="H39" s="99"/>
      <c r="I39" s="99">
        <v>4050</v>
      </c>
      <c r="J39" s="99">
        <v>1350</v>
      </c>
      <c r="K39" s="99">
        <v>1350</v>
      </c>
      <c r="L39" s="99"/>
      <c r="M39" s="99">
        <f>1350+1350</f>
        <v>2700</v>
      </c>
      <c r="N39" s="99"/>
      <c r="O39" s="99">
        <f t="shared" si="5"/>
        <v>13500</v>
      </c>
      <c r="Y39" s="110"/>
    </row>
    <row r="40" spans="2:25" s="109" customFormat="1" ht="12">
      <c r="B40" s="99" t="s">
        <v>36</v>
      </c>
      <c r="C40" s="99">
        <v>1953.13</v>
      </c>
      <c r="D40" s="99">
        <v>1953.13</v>
      </c>
      <c r="E40" s="99">
        <v>1953.13</v>
      </c>
      <c r="F40" s="99">
        <v>1953.13</v>
      </c>
      <c r="G40" s="99">
        <v>1953.13</v>
      </c>
      <c r="H40" s="99">
        <v>1149.47</v>
      </c>
      <c r="I40" s="99">
        <f>2321.38+850.91</f>
        <v>3172.29</v>
      </c>
      <c r="J40" s="99">
        <f>1297.64+778.53</f>
        <v>2076.17</v>
      </c>
      <c r="K40" s="99">
        <f>1286.57+789.59</f>
        <v>2076.16</v>
      </c>
      <c r="L40" s="99">
        <f>1402.86+673.3</f>
        <v>2076.16</v>
      </c>
      <c r="M40" s="99">
        <f>1360.79+715.37</f>
        <v>2076.16</v>
      </c>
      <c r="N40" s="99">
        <f>1447.27+628.89</f>
        <v>2076.16</v>
      </c>
      <c r="O40" s="99">
        <f t="shared" si="5"/>
        <v>24468.219999999998</v>
      </c>
      <c r="Y40" s="110"/>
    </row>
    <row r="41" spans="2:25" s="109" customFormat="1" ht="12">
      <c r="B41" s="99" t="s">
        <v>35</v>
      </c>
      <c r="C41" s="99">
        <v>445.99</v>
      </c>
      <c r="D41" s="99">
        <v>445.99</v>
      </c>
      <c r="E41" s="99">
        <v>445.99</v>
      </c>
      <c r="F41" s="99">
        <v>445.99</v>
      </c>
      <c r="G41" s="99">
        <v>445.99</v>
      </c>
      <c r="H41" s="99">
        <v>445.99</v>
      </c>
      <c r="I41" s="99">
        <v>538.27</v>
      </c>
      <c r="J41" s="99">
        <v>538.27</v>
      </c>
      <c r="K41" s="99">
        <v>538.27</v>
      </c>
      <c r="L41" s="99">
        <v>538.27</v>
      </c>
      <c r="M41" s="99">
        <v>538.27</v>
      </c>
      <c r="N41" s="99">
        <v>538.27</v>
      </c>
      <c r="O41" s="99">
        <f t="shared" si="5"/>
        <v>5905.560000000001</v>
      </c>
      <c r="Y41" s="110"/>
    </row>
    <row r="42" spans="2:25" s="109" customFormat="1" ht="12">
      <c r="B42" s="99" t="s">
        <v>29</v>
      </c>
      <c r="C42" s="99">
        <v>97.68</v>
      </c>
      <c r="D42" s="99">
        <v>282.98</v>
      </c>
      <c r="E42" s="99">
        <v>83.29</v>
      </c>
      <c r="F42" s="99">
        <v>165.21</v>
      </c>
      <c r="G42" s="99"/>
      <c r="H42" s="99">
        <v>100.59</v>
      </c>
      <c r="I42" s="99">
        <v>100.59</v>
      </c>
      <c r="J42" s="99">
        <f>120.7+555</f>
        <v>675.7</v>
      </c>
      <c r="K42" s="99">
        <v>159.41</v>
      </c>
      <c r="L42" s="99">
        <v>178.82</v>
      </c>
      <c r="M42" s="99">
        <v>178.82</v>
      </c>
      <c r="N42" s="99">
        <v>101.91</v>
      </c>
      <c r="O42" s="99">
        <f t="shared" si="5"/>
        <v>2125</v>
      </c>
      <c r="Y42" s="110"/>
    </row>
    <row r="43" spans="2:25" s="109" customFormat="1" ht="12">
      <c r="B43" s="99" t="s">
        <v>39</v>
      </c>
      <c r="C43" s="99">
        <v>1500</v>
      </c>
      <c r="D43" s="99"/>
      <c r="E43" s="99">
        <v>1500</v>
      </c>
      <c r="F43" s="99">
        <v>3000</v>
      </c>
      <c r="G43" s="99">
        <v>1000</v>
      </c>
      <c r="H43" s="99">
        <v>1000</v>
      </c>
      <c r="I43" s="99">
        <v>1000</v>
      </c>
      <c r="J43" s="99">
        <v>1000</v>
      </c>
      <c r="K43" s="99">
        <v>1000</v>
      </c>
      <c r="L43" s="99">
        <v>1000</v>
      </c>
      <c r="M43" s="99">
        <v>1500</v>
      </c>
      <c r="N43" s="99">
        <v>1500</v>
      </c>
      <c r="O43" s="99">
        <f t="shared" si="5"/>
        <v>15000</v>
      </c>
      <c r="Y43" s="110"/>
    </row>
    <row r="44" spans="2:25" s="109" customFormat="1" ht="12">
      <c r="B44" s="99" t="s">
        <v>40</v>
      </c>
      <c r="C44" s="99"/>
      <c r="D44" s="99"/>
      <c r="E44" s="99"/>
      <c r="F44" s="99"/>
      <c r="G44" s="99"/>
      <c r="H44" s="99">
        <v>1599.4</v>
      </c>
      <c r="I44" s="99">
        <v>1599.4</v>
      </c>
      <c r="J44" s="99">
        <v>1599.4</v>
      </c>
      <c r="K44" s="99">
        <v>1599.4</v>
      </c>
      <c r="L44" s="99"/>
      <c r="M44" s="99"/>
      <c r="N44" s="99"/>
      <c r="O44" s="99">
        <f t="shared" si="5"/>
        <v>6397.6</v>
      </c>
      <c r="Y44" s="110"/>
    </row>
    <row r="45" spans="2:25" s="109" customFormat="1" ht="12">
      <c r="B45" s="99" t="s">
        <v>41</v>
      </c>
      <c r="C45" s="99"/>
      <c r="D45" s="99"/>
      <c r="E45" s="99"/>
      <c r="F45" s="99"/>
      <c r="G45" s="99">
        <v>11534.25</v>
      </c>
      <c r="H45" s="99">
        <v>30</v>
      </c>
      <c r="I45" s="99"/>
      <c r="J45" s="99"/>
      <c r="K45" s="99"/>
      <c r="L45" s="99"/>
      <c r="M45" s="99"/>
      <c r="N45" s="99"/>
      <c r="O45" s="99">
        <f t="shared" si="5"/>
        <v>11564.25</v>
      </c>
      <c r="Y45" s="110"/>
    </row>
    <row r="46" spans="2:25" s="109" customFormat="1" ht="12"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Y46" s="110"/>
    </row>
    <row r="47" spans="2:25" s="109" customFormat="1" ht="12">
      <c r="B47" s="108" t="s">
        <v>42</v>
      </c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Y47" s="110"/>
    </row>
    <row r="48" spans="2:25" s="109" customFormat="1" ht="12">
      <c r="B48" s="99" t="s">
        <v>45</v>
      </c>
      <c r="C48" s="99">
        <v>148.42</v>
      </c>
      <c r="D48" s="99">
        <v>148.42</v>
      </c>
      <c r="E48" s="99">
        <v>148.42</v>
      </c>
      <c r="F48" s="99">
        <v>148.42</v>
      </c>
      <c r="G48" s="99">
        <v>148.42</v>
      </c>
      <c r="H48" s="99">
        <v>148.42</v>
      </c>
      <c r="I48" s="99">
        <v>148.42</v>
      </c>
      <c r="J48" s="99">
        <v>148.42</v>
      </c>
      <c r="K48" s="99">
        <v>148.42</v>
      </c>
      <c r="L48" s="99">
        <v>148.42</v>
      </c>
      <c r="M48" s="99">
        <v>148.42</v>
      </c>
      <c r="N48" s="99">
        <v>148.42</v>
      </c>
      <c r="O48" s="99">
        <f t="shared" si="5"/>
        <v>1781.0400000000002</v>
      </c>
      <c r="Y48" s="110"/>
    </row>
    <row r="49" spans="2:25" s="109" customFormat="1" ht="12">
      <c r="B49" s="99" t="s">
        <v>126</v>
      </c>
      <c r="C49" s="99">
        <v>239.25</v>
      </c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>
        <f t="shared" si="5"/>
        <v>239.25</v>
      </c>
      <c r="Y49" s="110"/>
    </row>
    <row r="50" spans="2:25" s="109" customFormat="1" ht="12">
      <c r="B50" s="99" t="s">
        <v>46</v>
      </c>
      <c r="C50" s="99"/>
      <c r="D50" s="99">
        <f>520.61+58.82</f>
        <v>579.4300000000001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>
        <f t="shared" si="5"/>
        <v>579.4300000000001</v>
      </c>
      <c r="Y50" s="110"/>
    </row>
    <row r="51" spans="2:25" s="109" customFormat="1" ht="12">
      <c r="B51" s="99" t="s">
        <v>47</v>
      </c>
      <c r="C51" s="99"/>
      <c r="D51" s="99">
        <v>117.65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>
        <f t="shared" si="5"/>
        <v>117.65</v>
      </c>
      <c r="Y51" s="110"/>
    </row>
    <row r="52" spans="2:25" s="109" customFormat="1" ht="12">
      <c r="B52" s="111" t="s">
        <v>48</v>
      </c>
      <c r="C52" s="99"/>
      <c r="D52" s="99"/>
      <c r="E52" s="99">
        <v>17.65</v>
      </c>
      <c r="F52" s="99"/>
      <c r="G52" s="99"/>
      <c r="H52" s="99"/>
      <c r="I52" s="99"/>
      <c r="J52" s="99"/>
      <c r="K52" s="99"/>
      <c r="L52" s="99"/>
      <c r="M52" s="99"/>
      <c r="N52" s="99"/>
      <c r="O52" s="99">
        <f t="shared" si="5"/>
        <v>17.65</v>
      </c>
      <c r="Y52" s="110"/>
    </row>
    <row r="53" spans="2:25" s="109" customFormat="1" ht="12">
      <c r="B53" s="99" t="s">
        <v>50</v>
      </c>
      <c r="C53" s="99"/>
      <c r="D53" s="99"/>
      <c r="E53" s="112">
        <v>126.47</v>
      </c>
      <c r="F53" s="99"/>
      <c r="G53" s="99">
        <v>893</v>
      </c>
      <c r="H53" s="99">
        <v>735</v>
      </c>
      <c r="I53" s="99"/>
      <c r="J53" s="99">
        <v>25</v>
      </c>
      <c r="K53" s="99"/>
      <c r="L53" s="99"/>
      <c r="M53" s="99"/>
      <c r="N53" s="99"/>
      <c r="O53" s="99">
        <f t="shared" si="5"/>
        <v>1779.47</v>
      </c>
      <c r="Y53" s="110"/>
    </row>
    <row r="54" spans="2:25" s="109" customFormat="1" ht="12">
      <c r="B54" s="99" t="s">
        <v>51</v>
      </c>
      <c r="C54" s="99"/>
      <c r="D54" s="99"/>
      <c r="E54" s="99"/>
      <c r="F54" s="99"/>
      <c r="G54" s="99"/>
      <c r="H54" s="99"/>
      <c r="I54" s="99">
        <v>1936.09</v>
      </c>
      <c r="J54" s="99"/>
      <c r="K54" s="99"/>
      <c r="L54" s="99"/>
      <c r="M54" s="99"/>
      <c r="N54" s="99"/>
      <c r="O54" s="99">
        <f t="shared" si="5"/>
        <v>1936.09</v>
      </c>
      <c r="Y54" s="110"/>
    </row>
    <row r="55" spans="2:25" s="109" customFormat="1" ht="12">
      <c r="B55" s="99" t="s">
        <v>130</v>
      </c>
      <c r="C55" s="99"/>
      <c r="D55" s="99"/>
      <c r="E55" s="99"/>
      <c r="F55" s="99"/>
      <c r="G55" s="99"/>
      <c r="H55" s="99"/>
      <c r="I55" s="99">
        <v>161.76</v>
      </c>
      <c r="J55" s="99"/>
      <c r="K55" s="99"/>
      <c r="L55" s="99"/>
      <c r="M55" s="99"/>
      <c r="N55" s="99"/>
      <c r="O55" s="99">
        <f t="shared" si="5"/>
        <v>161.76</v>
      </c>
      <c r="Y55" s="110"/>
    </row>
    <row r="56" spans="2:25" s="109" customFormat="1" ht="12">
      <c r="B56" s="99" t="s">
        <v>137</v>
      </c>
      <c r="C56" s="99"/>
      <c r="D56" s="99"/>
      <c r="E56" s="99"/>
      <c r="F56" s="99"/>
      <c r="G56" s="99"/>
      <c r="H56" s="99"/>
      <c r="I56" s="99">
        <v>170</v>
      </c>
      <c r="J56" s="99"/>
      <c r="K56" s="99"/>
      <c r="L56" s="99"/>
      <c r="M56" s="99"/>
      <c r="N56" s="99"/>
      <c r="O56" s="99">
        <f t="shared" si="5"/>
        <v>170</v>
      </c>
      <c r="Y56" s="110"/>
    </row>
    <row r="57" spans="2:25" s="109" customFormat="1" ht="12">
      <c r="B57" s="111" t="s">
        <v>139</v>
      </c>
      <c r="C57" s="99"/>
      <c r="D57" s="99"/>
      <c r="E57" s="99"/>
      <c r="F57" s="99"/>
      <c r="G57" s="99"/>
      <c r="H57" s="99"/>
      <c r="I57" s="99"/>
      <c r="J57" s="99">
        <v>26.24</v>
      </c>
      <c r="K57" s="99"/>
      <c r="L57" s="99"/>
      <c r="M57" s="99"/>
      <c r="N57" s="99"/>
      <c r="O57" s="99">
        <f t="shared" si="5"/>
        <v>26.24</v>
      </c>
      <c r="Y57" s="110"/>
    </row>
    <row r="58" spans="2:25" s="109" customFormat="1" ht="12">
      <c r="B58" s="99" t="s">
        <v>204</v>
      </c>
      <c r="C58" s="99"/>
      <c r="D58" s="99"/>
      <c r="E58" s="99"/>
      <c r="F58" s="99"/>
      <c r="G58" s="99"/>
      <c r="H58" s="99"/>
      <c r="I58" s="99"/>
      <c r="J58" s="99">
        <v>174.95</v>
      </c>
      <c r="K58" s="99"/>
      <c r="L58" s="99">
        <v>195.23</v>
      </c>
      <c r="M58" s="99">
        <v>195.23</v>
      </c>
      <c r="N58" s="99">
        <v>260.31</v>
      </c>
      <c r="O58" s="99">
        <f t="shared" si="5"/>
        <v>825.72</v>
      </c>
      <c r="Y58" s="110"/>
    </row>
    <row r="59" spans="2:25" s="109" customFormat="1" ht="12">
      <c r="B59" s="99" t="s">
        <v>156</v>
      </c>
      <c r="C59" s="99"/>
      <c r="D59" s="99"/>
      <c r="E59" s="99"/>
      <c r="F59" s="99"/>
      <c r="G59" s="99"/>
      <c r="H59" s="99"/>
      <c r="I59" s="99"/>
      <c r="J59" s="99">
        <v>22.74</v>
      </c>
      <c r="K59" s="99"/>
      <c r="L59" s="99"/>
      <c r="M59" s="99"/>
      <c r="N59" s="99"/>
      <c r="O59" s="99">
        <f t="shared" si="5"/>
        <v>22.74</v>
      </c>
      <c r="Y59" s="110"/>
    </row>
    <row r="60" spans="2:25" s="109" customFormat="1" ht="12">
      <c r="B60" s="99" t="s">
        <v>157</v>
      </c>
      <c r="C60" s="99"/>
      <c r="D60" s="99"/>
      <c r="E60" s="99"/>
      <c r="F60" s="99"/>
      <c r="G60" s="99"/>
      <c r="H60" s="99"/>
      <c r="I60" s="99"/>
      <c r="J60" s="99"/>
      <c r="K60" s="99">
        <v>160.75</v>
      </c>
      <c r="L60" s="99"/>
      <c r="M60" s="99"/>
      <c r="N60" s="99"/>
      <c r="O60" s="99">
        <f t="shared" si="5"/>
        <v>160.75</v>
      </c>
      <c r="Y60" s="110"/>
    </row>
    <row r="61" spans="2:25" s="109" customFormat="1" ht="12">
      <c r="B61" s="99" t="s">
        <v>158</v>
      </c>
      <c r="C61" s="99"/>
      <c r="D61" s="99"/>
      <c r="E61" s="99"/>
      <c r="F61" s="99"/>
      <c r="G61" s="99"/>
      <c r="H61" s="99"/>
      <c r="I61" s="99"/>
      <c r="J61" s="99"/>
      <c r="K61" s="99">
        <v>9866.97</v>
      </c>
      <c r="L61" s="99"/>
      <c r="M61" s="99"/>
      <c r="N61" s="99"/>
      <c r="O61" s="99">
        <f t="shared" si="5"/>
        <v>9866.97</v>
      </c>
      <c r="Y61" s="110"/>
    </row>
    <row r="62" spans="2:25" s="109" customFormat="1" ht="12">
      <c r="B62" s="99" t="s">
        <v>159</v>
      </c>
      <c r="C62" s="99"/>
      <c r="D62" s="99"/>
      <c r="E62" s="99"/>
      <c r="F62" s="99"/>
      <c r="G62" s="99"/>
      <c r="H62" s="99"/>
      <c r="I62" s="99"/>
      <c r="J62" s="99"/>
      <c r="K62" s="99">
        <v>17.5</v>
      </c>
      <c r="L62" s="99"/>
      <c r="M62" s="99"/>
      <c r="N62" s="99"/>
      <c r="O62" s="99">
        <f t="shared" si="5"/>
        <v>17.5</v>
      </c>
      <c r="Y62" s="110"/>
    </row>
    <row r="63" spans="2:25" s="109" customFormat="1" ht="12">
      <c r="B63" s="99" t="s">
        <v>223</v>
      </c>
      <c r="C63" s="99"/>
      <c r="D63" s="99"/>
      <c r="E63" s="99"/>
      <c r="F63" s="99"/>
      <c r="G63" s="99"/>
      <c r="H63" s="99"/>
      <c r="I63" s="99"/>
      <c r="J63" s="99">
        <v>250</v>
      </c>
      <c r="K63" s="99"/>
      <c r="L63" s="99"/>
      <c r="M63" s="99"/>
      <c r="N63" s="99"/>
      <c r="O63" s="99">
        <f t="shared" si="5"/>
        <v>250</v>
      </c>
      <c r="Y63" s="110"/>
    </row>
    <row r="64" spans="2:25" s="109" customFormat="1" ht="12">
      <c r="B64" s="99" t="s">
        <v>203</v>
      </c>
      <c r="C64" s="99"/>
      <c r="D64" s="99"/>
      <c r="E64" s="99"/>
      <c r="F64" s="99"/>
      <c r="G64" s="99"/>
      <c r="H64" s="99"/>
      <c r="I64" s="99"/>
      <c r="J64" s="99"/>
      <c r="K64" s="99">
        <v>725</v>
      </c>
      <c r="L64" s="99"/>
      <c r="M64" s="99"/>
      <c r="N64" s="99"/>
      <c r="O64" s="99">
        <f t="shared" si="5"/>
        <v>725</v>
      </c>
      <c r="Y64" s="110"/>
    </row>
    <row r="65" spans="2:25" s="109" customFormat="1" ht="12">
      <c r="B65" s="99" t="s">
        <v>199</v>
      </c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>
        <v>3000</v>
      </c>
      <c r="N65" s="99"/>
      <c r="O65" s="99">
        <f t="shared" si="5"/>
        <v>3000</v>
      </c>
      <c r="Y65" s="110"/>
    </row>
    <row r="66" spans="2:25" s="109" customFormat="1" ht="12">
      <c r="B66" s="99" t="s">
        <v>200</v>
      </c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>
        <v>240.78</v>
      </c>
      <c r="N66" s="99"/>
      <c r="O66" s="99">
        <f t="shared" si="5"/>
        <v>240.78</v>
      </c>
      <c r="Y66" s="110"/>
    </row>
    <row r="67" spans="2:25" s="109" customFormat="1" ht="12">
      <c r="B67" s="99" t="s">
        <v>191</v>
      </c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>
        <v>10.31</v>
      </c>
      <c r="N67" s="99"/>
      <c r="O67" s="99">
        <f t="shared" si="5"/>
        <v>10.31</v>
      </c>
      <c r="Y67" s="110"/>
    </row>
    <row r="68" spans="2:25" s="109" customFormat="1" ht="12">
      <c r="B68" s="99" t="s">
        <v>201</v>
      </c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>
        <v>6750</v>
      </c>
      <c r="N68" s="99"/>
      <c r="O68" s="99">
        <f t="shared" si="5"/>
        <v>6750</v>
      </c>
      <c r="Y68" s="110"/>
    </row>
    <row r="69" spans="2:25" s="109" customFormat="1" ht="12">
      <c r="B69" s="99" t="s">
        <v>202</v>
      </c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>
        <v>58.32</v>
      </c>
      <c r="O69" s="99">
        <f t="shared" si="5"/>
        <v>58.32</v>
      </c>
      <c r="Y69" s="110"/>
    </row>
    <row r="70" spans="2:25" s="109" customFormat="1" ht="12" hidden="1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>
        <f t="shared" si="5"/>
        <v>0</v>
      </c>
      <c r="Y70" s="110"/>
    </row>
    <row r="71" spans="2:25" s="109" customFormat="1" ht="12" hidden="1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>
        <f t="shared" si="5"/>
        <v>0</v>
      </c>
      <c r="Y71" s="110"/>
    </row>
    <row r="72" spans="2:25" s="109" customFormat="1" ht="12" hidden="1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>
        <f t="shared" si="5"/>
        <v>0</v>
      </c>
      <c r="Y72" s="110"/>
    </row>
    <row r="73" spans="2:25" s="109" customFormat="1" ht="12" hidden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>
        <f t="shared" si="5"/>
        <v>0</v>
      </c>
      <c r="Y73" s="110"/>
    </row>
    <row r="74" spans="2:25" s="109" customFormat="1" ht="12">
      <c r="B74" s="108" t="s">
        <v>16</v>
      </c>
      <c r="C74" s="108">
        <f aca="true" t="shared" si="6" ref="C74:O74">SUM(C32:C73)</f>
        <v>23176.420000000002</v>
      </c>
      <c r="D74" s="108">
        <f t="shared" si="6"/>
        <v>22943.600000000002</v>
      </c>
      <c r="E74" s="108">
        <f t="shared" si="6"/>
        <v>22936.840000000004</v>
      </c>
      <c r="F74" s="108">
        <f t="shared" si="6"/>
        <v>28209.199999999997</v>
      </c>
      <c r="G74" s="108">
        <f t="shared" si="6"/>
        <v>34787.16</v>
      </c>
      <c r="H74" s="108">
        <f t="shared" si="6"/>
        <v>28260.04</v>
      </c>
      <c r="I74" s="108">
        <f t="shared" si="6"/>
        <v>33093.33</v>
      </c>
      <c r="J74" s="108">
        <f t="shared" si="6"/>
        <v>25908.080000000005</v>
      </c>
      <c r="K74" s="108">
        <f t="shared" si="6"/>
        <v>38543.32</v>
      </c>
      <c r="L74" s="108">
        <f t="shared" si="6"/>
        <v>27803.62</v>
      </c>
      <c r="M74" s="108">
        <f t="shared" si="6"/>
        <v>36183.79</v>
      </c>
      <c r="N74" s="108">
        <f t="shared" si="6"/>
        <v>30375.160000000003</v>
      </c>
      <c r="O74" s="108">
        <f t="shared" si="6"/>
        <v>353386.89</v>
      </c>
      <c r="Y74" s="110"/>
    </row>
    <row r="76" spans="2:15" ht="12">
      <c r="B76" s="152" t="s">
        <v>149</v>
      </c>
      <c r="C76" s="153">
        <f aca="true" t="shared" si="7" ref="C76:O76">C10+C24-C74</f>
        <v>148908.63999999998</v>
      </c>
      <c r="D76" s="153">
        <f t="shared" si="7"/>
        <v>144190.43999999997</v>
      </c>
      <c r="E76" s="153">
        <f t="shared" si="7"/>
        <v>162800.43999999997</v>
      </c>
      <c r="F76" s="153">
        <f t="shared" si="7"/>
        <v>169305.93</v>
      </c>
      <c r="G76" s="153">
        <f t="shared" si="7"/>
        <v>144433.36</v>
      </c>
      <c r="H76" s="153">
        <f t="shared" si="7"/>
        <v>148425.58999999997</v>
      </c>
      <c r="I76" s="153">
        <f t="shared" si="7"/>
        <v>143982.07999999996</v>
      </c>
      <c r="J76" s="153">
        <f t="shared" si="7"/>
        <v>151804.23999999993</v>
      </c>
      <c r="K76" s="153">
        <f t="shared" si="7"/>
        <v>155788.16999999993</v>
      </c>
      <c r="L76" s="153">
        <f t="shared" si="7"/>
        <v>161212.9699999999</v>
      </c>
      <c r="M76" s="153">
        <f t="shared" si="7"/>
        <v>161661.9799999999</v>
      </c>
      <c r="N76" s="153">
        <f t="shared" si="7"/>
        <v>165425.6399999999</v>
      </c>
      <c r="O76" s="154">
        <f t="shared" si="7"/>
        <v>164259.30999999994</v>
      </c>
    </row>
    <row r="77" spans="2:15" s="87" customFormat="1" ht="12"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</row>
    <row r="78" ht="12">
      <c r="B78" s="86" t="s">
        <v>24</v>
      </c>
    </row>
    <row r="79" ht="12">
      <c r="B79" s="86" t="s">
        <v>25</v>
      </c>
    </row>
  </sheetData>
  <sheetProtection selectLockedCells="1" selectUnlockedCells="1"/>
  <mergeCells count="3">
    <mergeCell ref="B1:O1"/>
    <mergeCell ref="B2:O2"/>
    <mergeCell ref="B3:P3"/>
  </mergeCells>
  <printOptions/>
  <pageMargins left="0.37" right="0.15" top="0.28" bottom="0.16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Y83"/>
  <sheetViews>
    <sheetView tabSelected="1" zoomScalePageLayoutView="0" workbookViewId="0" topLeftCell="A1">
      <pane xSplit="2" ySplit="5" topLeftCell="O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32" sqref="Q32"/>
    </sheetView>
  </sheetViews>
  <sheetFormatPr defaultColWidth="26.75390625" defaultRowHeight="12.75"/>
  <cols>
    <col min="1" max="1" width="6.625" style="86" customWidth="1"/>
    <col min="2" max="2" width="43.375" style="86" customWidth="1"/>
    <col min="3" max="3" width="4.125" style="86" hidden="1" customWidth="1"/>
    <col min="4" max="5" width="9.375" style="86" hidden="1" customWidth="1"/>
    <col min="6" max="6" width="10.25390625" style="86" hidden="1" customWidth="1"/>
    <col min="7" max="7" width="9.125" style="86" hidden="1" customWidth="1"/>
    <col min="8" max="8" width="9.00390625" style="86" hidden="1" customWidth="1"/>
    <col min="9" max="9" width="8.875" style="86" hidden="1" customWidth="1"/>
    <col min="10" max="10" width="9.25390625" style="86" hidden="1" customWidth="1"/>
    <col min="11" max="11" width="11.25390625" style="86" hidden="1" customWidth="1"/>
    <col min="12" max="12" width="9.75390625" style="86" hidden="1" customWidth="1"/>
    <col min="13" max="13" width="8.75390625" style="86" hidden="1" customWidth="1"/>
    <col min="14" max="14" width="9.25390625" style="86" hidden="1" customWidth="1"/>
    <col min="15" max="15" width="9.25390625" style="87" customWidth="1"/>
    <col min="16" max="16" width="7.625" style="86" customWidth="1"/>
    <col min="17" max="24" width="26.75390625" style="86" customWidth="1"/>
    <col min="25" max="25" width="26.75390625" style="87" customWidth="1"/>
    <col min="26" max="16384" width="26.75390625" style="86" customWidth="1"/>
  </cols>
  <sheetData>
    <row r="1" spans="2:16" ht="12">
      <c r="B1" s="194" t="s">
        <v>151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85"/>
    </row>
    <row r="2" spans="2:16" ht="12">
      <c r="B2" s="194" t="s">
        <v>152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85"/>
    </row>
    <row r="3" spans="2:15" ht="12">
      <c r="B3" s="195" t="s">
        <v>91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2:15" ht="12">
      <c r="B4" s="84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2:15" ht="24">
      <c r="B5" s="90" t="s">
        <v>92</v>
      </c>
      <c r="C5" s="91" t="s">
        <v>0</v>
      </c>
      <c r="D5" s="91" t="s">
        <v>1</v>
      </c>
      <c r="E5" s="91" t="s">
        <v>2</v>
      </c>
      <c r="F5" s="91" t="s">
        <v>3</v>
      </c>
      <c r="G5" s="91" t="s">
        <v>4</v>
      </c>
      <c r="H5" s="91" t="s">
        <v>5</v>
      </c>
      <c r="I5" s="91" t="s">
        <v>6</v>
      </c>
      <c r="J5" s="91" t="s">
        <v>7</v>
      </c>
      <c r="K5" s="91" t="s">
        <v>8</v>
      </c>
      <c r="L5" s="91" t="s">
        <v>9</v>
      </c>
      <c r="M5" s="91" t="s">
        <v>10</v>
      </c>
      <c r="N5" s="91" t="s">
        <v>11</v>
      </c>
      <c r="O5" s="92" t="s">
        <v>150</v>
      </c>
    </row>
    <row r="6" spans="2:15" ht="12"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</row>
    <row r="7" spans="2:15" ht="12">
      <c r="B7" s="94" t="s">
        <v>43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</row>
    <row r="8" spans="2:15" ht="12">
      <c r="B8" s="93" t="s">
        <v>13</v>
      </c>
      <c r="C8" s="93">
        <v>47983.47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>
        <f>C8+D8+E8+F8+G8+H8+I8+J8+K8+L8+M8+N8</f>
        <v>47983.47</v>
      </c>
    </row>
    <row r="9" spans="2:15" ht="12"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2:15" s="87" customFormat="1" ht="12">
      <c r="B10" s="94" t="s">
        <v>16</v>
      </c>
      <c r="C10" s="94" t="e">
        <f>C8+#REF!+#REF!</f>
        <v>#REF!</v>
      </c>
      <c r="D10" s="94" t="e">
        <f aca="true" t="shared" si="0" ref="D10:I10">C76</f>
        <v>#REF!</v>
      </c>
      <c r="E10" s="94" t="e">
        <f t="shared" si="0"/>
        <v>#REF!</v>
      </c>
      <c r="F10" s="94" t="e">
        <f t="shared" si="0"/>
        <v>#REF!</v>
      </c>
      <c r="G10" s="94" t="e">
        <f t="shared" si="0"/>
        <v>#REF!</v>
      </c>
      <c r="H10" s="94" t="e">
        <f t="shared" si="0"/>
        <v>#REF!</v>
      </c>
      <c r="I10" s="94" t="e">
        <f t="shared" si="0"/>
        <v>#REF!</v>
      </c>
      <c r="J10" s="94" t="e">
        <f>I76</f>
        <v>#REF!</v>
      </c>
      <c r="K10" s="94" t="e">
        <f>J76</f>
        <v>#REF!</v>
      </c>
      <c r="L10" s="94" t="e">
        <f>K76</f>
        <v>#REF!</v>
      </c>
      <c r="M10" s="94" t="e">
        <f>L76</f>
        <v>#REF!</v>
      </c>
      <c r="N10" s="94" t="e">
        <f>M76</f>
        <v>#REF!</v>
      </c>
      <c r="O10" s="94">
        <f>O8</f>
        <v>47983.47</v>
      </c>
    </row>
    <row r="11" spans="2:15" ht="12"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4"/>
    </row>
    <row r="12" spans="2:25" s="97" customFormat="1" ht="12">
      <c r="B12" s="95" t="s">
        <v>17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5"/>
      <c r="Y12" s="98"/>
    </row>
    <row r="13" spans="2:25" s="97" customFormat="1" ht="12">
      <c r="B13" s="96" t="s">
        <v>13</v>
      </c>
      <c r="C13" s="96">
        <v>56210.41</v>
      </c>
      <c r="D13" s="96">
        <v>56210.41</v>
      </c>
      <c r="E13" s="96">
        <v>56210.41</v>
      </c>
      <c r="F13" s="96">
        <v>56210.41</v>
      </c>
      <c r="G13" s="96">
        <v>56210.41</v>
      </c>
      <c r="H13" s="96">
        <v>56210.41</v>
      </c>
      <c r="I13" s="96">
        <v>63442.19</v>
      </c>
      <c r="J13" s="96">
        <v>63442.19</v>
      </c>
      <c r="K13" s="96">
        <v>63442.19</v>
      </c>
      <c r="L13" s="96">
        <v>63442.19</v>
      </c>
      <c r="M13" s="96">
        <v>63442.19</v>
      </c>
      <c r="N13" s="96">
        <v>63442.19</v>
      </c>
      <c r="O13" s="96">
        <f>C13+D13+E13+F13+G13+H13+I13+J13+K13+L13+M13+N13</f>
        <v>717915.5999999999</v>
      </c>
      <c r="Y13" s="98"/>
    </row>
    <row r="14" spans="2:25" s="97" customFormat="1" ht="12">
      <c r="B14" s="96" t="s">
        <v>38</v>
      </c>
      <c r="C14" s="96">
        <v>3561.09</v>
      </c>
      <c r="D14" s="96">
        <v>3561.09</v>
      </c>
      <c r="E14" s="96">
        <v>3561.09</v>
      </c>
      <c r="F14" s="96">
        <v>3561.09</v>
      </c>
      <c r="G14" s="96">
        <v>3561.09</v>
      </c>
      <c r="H14" s="96">
        <v>3561.09</v>
      </c>
      <c r="I14" s="96"/>
      <c r="J14" s="96"/>
      <c r="K14" s="96"/>
      <c r="L14" s="96"/>
      <c r="M14" s="96"/>
      <c r="N14" s="96"/>
      <c r="O14" s="96">
        <f>C14+D14+E14+F14+G14+H14+I14+J14+K14+L14+M14+N14</f>
        <v>21366.54</v>
      </c>
      <c r="Y14" s="98"/>
    </row>
    <row r="15" spans="2:25" s="97" customFormat="1" ht="12">
      <c r="B15" s="99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Y15" s="98"/>
    </row>
    <row r="16" spans="2:15" s="98" customFormat="1" ht="12">
      <c r="B16" s="95" t="s">
        <v>16</v>
      </c>
      <c r="C16" s="95">
        <f aca="true" t="shared" si="1" ref="C16:N16">SUM(C11:C14)</f>
        <v>59771.5</v>
      </c>
      <c r="D16" s="95">
        <f t="shared" si="1"/>
        <v>59771.5</v>
      </c>
      <c r="E16" s="95">
        <f t="shared" si="1"/>
        <v>59771.5</v>
      </c>
      <c r="F16" s="95">
        <f t="shared" si="1"/>
        <v>59771.5</v>
      </c>
      <c r="G16" s="95">
        <f t="shared" si="1"/>
        <v>59771.5</v>
      </c>
      <c r="H16" s="95">
        <f t="shared" si="1"/>
        <v>59771.5</v>
      </c>
      <c r="I16" s="95">
        <f t="shared" si="1"/>
        <v>63442.19</v>
      </c>
      <c r="J16" s="95">
        <f t="shared" si="1"/>
        <v>63442.19</v>
      </c>
      <c r="K16" s="95">
        <f t="shared" si="1"/>
        <v>63442.19</v>
      </c>
      <c r="L16" s="95">
        <f t="shared" si="1"/>
        <v>63442.19</v>
      </c>
      <c r="M16" s="95">
        <f t="shared" si="1"/>
        <v>63442.19</v>
      </c>
      <c r="N16" s="95">
        <f t="shared" si="1"/>
        <v>63442.19</v>
      </c>
      <c r="O16" s="95">
        <f>C16+D16+E16+F16+G16+H16+I16+J16+K16+L16+M16+N16</f>
        <v>739282.1399999999</v>
      </c>
    </row>
    <row r="17" spans="2:15" ht="12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4"/>
    </row>
    <row r="18" spans="2:25" s="102" customFormat="1" ht="12">
      <c r="B18" s="100" t="s">
        <v>18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0"/>
      <c r="Y18" s="103"/>
    </row>
    <row r="19" spans="2:25" s="102" customFormat="1" ht="12">
      <c r="B19" s="101" t="s">
        <v>13</v>
      </c>
      <c r="C19" s="101">
        <f>44587.58+4000</f>
        <v>48587.58</v>
      </c>
      <c r="D19" s="101">
        <v>36456.18</v>
      </c>
      <c r="E19" s="101">
        <f>66284.33+8000</f>
        <v>74284.33</v>
      </c>
      <c r="F19" s="101">
        <f>48456.42+4000</f>
        <v>52456.42</v>
      </c>
      <c r="G19" s="101">
        <f>55536.86+4000</f>
        <v>59536.86</v>
      </c>
      <c r="H19" s="101">
        <v>41765.28</v>
      </c>
      <c r="I19" s="101">
        <f>51020.41+4000</f>
        <v>55020.41</v>
      </c>
      <c r="J19" s="101">
        <f>39194.86+2000-2000-2000+4000</f>
        <v>41194.86</v>
      </c>
      <c r="K19" s="101">
        <f>60764.53+4000</f>
        <v>64764.53</v>
      </c>
      <c r="L19" s="101">
        <f>60089.76+4000+1000</f>
        <v>65089.76</v>
      </c>
      <c r="M19" s="101">
        <f>67154.69+4000+1000</f>
        <v>72154.69</v>
      </c>
      <c r="N19" s="101">
        <f>51014.07+4000+1000</f>
        <v>56014.07</v>
      </c>
      <c r="O19" s="101">
        <f>C19+D19+E19+F19+G19+H19+I19+J19+K19+L19+M19+N19</f>
        <v>667324.9700000001</v>
      </c>
      <c r="Y19" s="103"/>
    </row>
    <row r="20" spans="2:25" s="102" customFormat="1" ht="12">
      <c r="B20" s="101" t="s">
        <v>15</v>
      </c>
      <c r="C20" s="101">
        <v>7737.5</v>
      </c>
      <c r="D20" s="101">
        <v>8649.22</v>
      </c>
      <c r="E20" s="101">
        <v>12140.39</v>
      </c>
      <c r="F20" s="101">
        <v>3277.28</v>
      </c>
      <c r="G20" s="101">
        <v>894.61</v>
      </c>
      <c r="H20" s="101">
        <v>1450</v>
      </c>
      <c r="I20" s="101">
        <v>908.83</v>
      </c>
      <c r="J20" s="101">
        <v>1469.23</v>
      </c>
      <c r="K20" s="101">
        <v>985.37</v>
      </c>
      <c r="L20" s="101"/>
      <c r="M20" s="101"/>
      <c r="N20" s="101"/>
      <c r="O20" s="101">
        <f>C20+D20+E20+F20+G20+H20+I20+J20+K20+L20+M20+N20</f>
        <v>37512.43000000001</v>
      </c>
      <c r="Y20" s="103"/>
    </row>
    <row r="21" spans="2:25" s="102" customFormat="1" ht="12">
      <c r="B21" s="96" t="s">
        <v>38</v>
      </c>
      <c r="C21" s="101">
        <v>2767</v>
      </c>
      <c r="D21" s="101">
        <v>3023.06</v>
      </c>
      <c r="E21" s="101">
        <v>3431.37</v>
      </c>
      <c r="F21" s="101">
        <v>3009.28</v>
      </c>
      <c r="G21" s="101">
        <v>3363.9</v>
      </c>
      <c r="H21" s="101">
        <v>2778.25</v>
      </c>
      <c r="I21" s="101">
        <v>3153.53</v>
      </c>
      <c r="J21" s="101">
        <v>1374.31</v>
      </c>
      <c r="K21" s="101">
        <v>190.78</v>
      </c>
      <c r="L21" s="101"/>
      <c r="M21" s="101"/>
      <c r="N21" s="101"/>
      <c r="O21" s="101">
        <f>C21+D21+E21+F21+G21+H21+I21+J21+K21+L21+M21+N21</f>
        <v>23091.48</v>
      </c>
      <c r="Y21" s="103"/>
    </row>
    <row r="22" spans="2:25" s="102" customFormat="1" ht="12">
      <c r="B22" s="99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Y22" s="103"/>
    </row>
    <row r="23" spans="2:15" s="103" customFormat="1" ht="12">
      <c r="B23" s="100" t="s">
        <v>16</v>
      </c>
      <c r="C23" s="100">
        <f aca="true" t="shared" si="2" ref="C23:O23">SUM(C19:C22)</f>
        <v>59092.08</v>
      </c>
      <c r="D23" s="100">
        <f t="shared" si="2"/>
        <v>48128.46</v>
      </c>
      <c r="E23" s="100">
        <f t="shared" si="2"/>
        <v>89856.09</v>
      </c>
      <c r="F23" s="100">
        <f t="shared" si="2"/>
        <v>58742.979999999996</v>
      </c>
      <c r="G23" s="100">
        <f t="shared" si="2"/>
        <v>63795.37</v>
      </c>
      <c r="H23" s="100">
        <f t="shared" si="2"/>
        <v>45993.53</v>
      </c>
      <c r="I23" s="100">
        <f t="shared" si="2"/>
        <v>59082.770000000004</v>
      </c>
      <c r="J23" s="100">
        <f t="shared" si="2"/>
        <v>44038.4</v>
      </c>
      <c r="K23" s="100">
        <f t="shared" si="2"/>
        <v>65940.68</v>
      </c>
      <c r="L23" s="100">
        <f t="shared" si="2"/>
        <v>65089.76</v>
      </c>
      <c r="M23" s="100">
        <f t="shared" si="2"/>
        <v>72154.69</v>
      </c>
      <c r="N23" s="100">
        <f t="shared" si="2"/>
        <v>56014.07</v>
      </c>
      <c r="O23" s="100">
        <f t="shared" si="2"/>
        <v>727928.8800000001</v>
      </c>
    </row>
    <row r="24" spans="2:15" ht="12"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4"/>
    </row>
    <row r="25" spans="2:15" ht="12">
      <c r="B25" s="94" t="s">
        <v>19</v>
      </c>
      <c r="C25" s="104">
        <f aca="true" t="shared" si="3" ref="C25:O25">C23/C16</f>
        <v>0.9886330441765725</v>
      </c>
      <c r="D25" s="104">
        <f t="shared" si="3"/>
        <v>0.8052074985570046</v>
      </c>
      <c r="E25" s="104">
        <f t="shared" si="3"/>
        <v>1.503326669064688</v>
      </c>
      <c r="F25" s="104">
        <f t="shared" si="3"/>
        <v>0.9827924679822323</v>
      </c>
      <c r="G25" s="104">
        <f t="shared" si="3"/>
        <v>1.0673208803526766</v>
      </c>
      <c r="H25" s="104">
        <f t="shared" si="3"/>
        <v>0.7694893051036029</v>
      </c>
      <c r="I25" s="104">
        <f t="shared" si="3"/>
        <v>0.9312851589770151</v>
      </c>
      <c r="J25" s="104">
        <f t="shared" si="3"/>
        <v>0.6941500600783169</v>
      </c>
      <c r="K25" s="104">
        <f t="shared" si="3"/>
        <v>1.039382152476136</v>
      </c>
      <c r="L25" s="104">
        <f t="shared" si="3"/>
        <v>1.0259696268366525</v>
      </c>
      <c r="M25" s="104">
        <f t="shared" si="3"/>
        <v>1.1373297485474572</v>
      </c>
      <c r="N25" s="104">
        <f t="shared" si="3"/>
        <v>0.8829151389635194</v>
      </c>
      <c r="O25" s="105">
        <f t="shared" si="3"/>
        <v>0.9846428590848958</v>
      </c>
    </row>
    <row r="26" spans="2:15" ht="12">
      <c r="B26" s="9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6"/>
    </row>
    <row r="27" spans="2:15" ht="12">
      <c r="B27" s="94" t="s">
        <v>20</v>
      </c>
      <c r="C27" s="107">
        <f aca="true" t="shared" si="4" ref="C27:O27">C16-C23</f>
        <v>679.4199999999983</v>
      </c>
      <c r="D27" s="107">
        <f t="shared" si="4"/>
        <v>11643.04</v>
      </c>
      <c r="E27" s="107">
        <f t="shared" si="4"/>
        <v>-30084.589999999997</v>
      </c>
      <c r="F27" s="107">
        <f t="shared" si="4"/>
        <v>1028.520000000004</v>
      </c>
      <c r="G27" s="107">
        <f t="shared" si="4"/>
        <v>-4023.8700000000026</v>
      </c>
      <c r="H27" s="107">
        <f t="shared" si="4"/>
        <v>13777.970000000001</v>
      </c>
      <c r="I27" s="107">
        <f t="shared" si="4"/>
        <v>4359.419999999998</v>
      </c>
      <c r="J27" s="107">
        <f t="shared" si="4"/>
        <v>19403.79</v>
      </c>
      <c r="K27" s="107">
        <f t="shared" si="4"/>
        <v>-2498.4899999999907</v>
      </c>
      <c r="L27" s="107">
        <f t="shared" si="4"/>
        <v>-1647.5699999999997</v>
      </c>
      <c r="M27" s="107">
        <f t="shared" si="4"/>
        <v>-8712.5</v>
      </c>
      <c r="N27" s="107">
        <f t="shared" si="4"/>
        <v>7428.120000000003</v>
      </c>
      <c r="O27" s="107">
        <f t="shared" si="4"/>
        <v>11353.259999999776</v>
      </c>
    </row>
    <row r="28" spans="2:15" ht="12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4"/>
    </row>
    <row r="29" spans="2:25" s="109" customFormat="1" ht="12">
      <c r="B29" s="108" t="s">
        <v>21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108"/>
      <c r="Y29" s="110"/>
    </row>
    <row r="30" spans="2:25" s="109" customFormat="1" ht="12"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108"/>
      <c r="Y30" s="110"/>
    </row>
    <row r="31" spans="2:25" s="109" customFormat="1" ht="12">
      <c r="B31" s="99" t="s">
        <v>22</v>
      </c>
      <c r="C31" s="99">
        <v>235.96</v>
      </c>
      <c r="D31" s="99">
        <v>186.11</v>
      </c>
      <c r="E31" s="99">
        <v>464.27</v>
      </c>
      <c r="F31" s="99">
        <f>261.36+52.35</f>
        <v>313.71000000000004</v>
      </c>
      <c r="G31" s="99">
        <v>1688.39</v>
      </c>
      <c r="H31" s="99">
        <f>196.27+207.74</f>
        <v>404.01</v>
      </c>
      <c r="I31" s="99">
        <v>330.68</v>
      </c>
      <c r="J31" s="99">
        <f>275.04+46.75+2077.48+++++++++++++++++++++++++++++++++++++++++++++++++++++++++++++++++++++++++++++++++++++++++++++++311.61+40.53-2000</f>
        <v>751.4100000000003</v>
      </c>
      <c r="K31" s="99">
        <v>-160.08</v>
      </c>
      <c r="L31" s="99">
        <f>1275.54+190.78</f>
        <v>1466.32</v>
      </c>
      <c r="M31" s="99">
        <v>-88.37</v>
      </c>
      <c r="N31" s="99">
        <v>291.84</v>
      </c>
      <c r="O31" s="99">
        <f>C31+D31+E31+F31+G31+H31+I31+J31+K31+L31+M31+N31</f>
        <v>5884.250000000001</v>
      </c>
      <c r="Y31" s="110"/>
    </row>
    <row r="32" spans="2:25" s="109" customFormat="1" ht="12">
      <c r="B32" s="99" t="s">
        <v>185</v>
      </c>
      <c r="C32" s="99">
        <v>19076.27</v>
      </c>
      <c r="D32" s="99">
        <v>19076.27</v>
      </c>
      <c r="E32" s="99">
        <v>19076.27</v>
      </c>
      <c r="F32" s="99">
        <v>19076.27</v>
      </c>
      <c r="G32" s="99">
        <v>19076.27</v>
      </c>
      <c r="H32" s="99">
        <v>19076.27</v>
      </c>
      <c r="I32" s="99">
        <v>19076.27</v>
      </c>
      <c r="J32" s="99">
        <v>20169.95</v>
      </c>
      <c r="K32" s="99">
        <v>20544.73</v>
      </c>
      <c r="L32" s="99">
        <v>20544.73</v>
      </c>
      <c r="M32" s="99">
        <v>20544.73</v>
      </c>
      <c r="N32" s="99">
        <v>20544.73</v>
      </c>
      <c r="O32" s="99">
        <f aca="true" t="shared" si="5" ref="O32:O73">C32+D32+E32+F32+G32+H32+I32+J32+K32+L32+M32+N32</f>
        <v>235882.76000000007</v>
      </c>
      <c r="Y32" s="110"/>
    </row>
    <row r="33" spans="2:25" s="109" customFormat="1" ht="12">
      <c r="B33" s="99" t="s">
        <v>31</v>
      </c>
      <c r="C33" s="99">
        <f>2739.3+1903.98</f>
        <v>4643.280000000001</v>
      </c>
      <c r="D33" s="99">
        <f>2739.3+3645.3</f>
        <v>6384.6</v>
      </c>
      <c r="E33" s="99">
        <f>2739.3+3000+539.69</f>
        <v>6278.99</v>
      </c>
      <c r="F33" s="99">
        <f>3000+1570.84</f>
        <v>4570.84</v>
      </c>
      <c r="G33" s="99">
        <f>3000+1570.84</f>
        <v>4570.84</v>
      </c>
      <c r="H33" s="99">
        <f>3000+1570.84</f>
        <v>4570.84</v>
      </c>
      <c r="I33" s="99">
        <v>5316.15</v>
      </c>
      <c r="J33" s="99">
        <v>4065.75</v>
      </c>
      <c r="K33" s="99">
        <v>4065.75</v>
      </c>
      <c r="L33" s="99">
        <v>4065.75</v>
      </c>
      <c r="M33" s="99">
        <v>4065.75</v>
      </c>
      <c r="N33" s="99">
        <v>4065.75</v>
      </c>
      <c r="O33" s="99">
        <f t="shared" si="5"/>
        <v>56664.29</v>
      </c>
      <c r="Y33" s="110"/>
    </row>
    <row r="34" spans="2:25" s="109" customFormat="1" ht="12">
      <c r="B34" s="99" t="s">
        <v>32</v>
      </c>
      <c r="C34" s="99">
        <f>4315.95</f>
        <v>4315.95</v>
      </c>
      <c r="D34" s="99">
        <v>8480.4</v>
      </c>
      <c r="E34" s="99">
        <f>4196.15+4284.23</f>
        <v>8480.38</v>
      </c>
      <c r="F34" s="99">
        <f>5022.41+4443.71</f>
        <v>9466.119999999999</v>
      </c>
      <c r="G34" s="99">
        <f>5537.84+4443.71</f>
        <v>9981.55</v>
      </c>
      <c r="H34" s="99">
        <f>4985.93+5024.55</f>
        <v>10010.48</v>
      </c>
      <c r="I34" s="99">
        <v>10010.63</v>
      </c>
      <c r="J34" s="99">
        <v>7271.14</v>
      </c>
      <c r="K34" s="99">
        <f>2739.51+4362.67+5647.94</f>
        <v>12750.119999999999</v>
      </c>
      <c r="L34" s="99">
        <f>7269.14+2739.49</f>
        <v>10008.630000000001</v>
      </c>
      <c r="M34" s="99">
        <v>5855.71</v>
      </c>
      <c r="N34" s="99">
        <f>5193.66+4154.95+4816.97</f>
        <v>14165.580000000002</v>
      </c>
      <c r="O34" s="99">
        <f t="shared" si="5"/>
        <v>110796.69</v>
      </c>
      <c r="Y34" s="110"/>
    </row>
    <row r="35" spans="2:25" s="109" customFormat="1" ht="12">
      <c r="B35" s="111" t="s">
        <v>33</v>
      </c>
      <c r="C35" s="99">
        <v>61.24</v>
      </c>
      <c r="D35" s="99">
        <v>61.24</v>
      </c>
      <c r="E35" s="99">
        <v>61.24</v>
      </c>
      <c r="F35" s="99">
        <v>61.24</v>
      </c>
      <c r="G35" s="99">
        <v>61.24</v>
      </c>
      <c r="H35" s="99">
        <v>61.24</v>
      </c>
      <c r="I35" s="99">
        <v>61.24</v>
      </c>
      <c r="J35" s="99">
        <v>61.24</v>
      </c>
      <c r="K35" s="99">
        <v>61.24</v>
      </c>
      <c r="L35" s="99">
        <v>61.24</v>
      </c>
      <c r="M35" s="99">
        <v>61.24</v>
      </c>
      <c r="N35" s="99">
        <v>61.24</v>
      </c>
      <c r="O35" s="99">
        <f t="shared" si="5"/>
        <v>734.88</v>
      </c>
      <c r="Y35" s="110"/>
    </row>
    <row r="36" spans="2:25" s="109" customFormat="1" ht="12">
      <c r="B36" s="99" t="s">
        <v>34</v>
      </c>
      <c r="C36" s="99">
        <f>2500</f>
        <v>2500</v>
      </c>
      <c r="D36" s="99">
        <v>4500</v>
      </c>
      <c r="E36" s="99">
        <f>2250+2250</f>
        <v>4500</v>
      </c>
      <c r="F36" s="99">
        <f>2250+2250</f>
        <v>4500</v>
      </c>
      <c r="G36" s="99">
        <v>4500</v>
      </c>
      <c r="H36" s="99">
        <v>4500</v>
      </c>
      <c r="I36" s="99"/>
      <c r="J36" s="99"/>
      <c r="K36" s="99"/>
      <c r="L36" s="99">
        <v>4500</v>
      </c>
      <c r="M36" s="99">
        <v>3250</v>
      </c>
      <c r="N36" s="99">
        <f>1250+3000</f>
        <v>4250</v>
      </c>
      <c r="O36" s="99">
        <f t="shared" si="5"/>
        <v>37000</v>
      </c>
      <c r="Y36" s="110"/>
    </row>
    <row r="37" spans="2:25" s="109" customFormat="1" ht="12">
      <c r="B37" s="99" t="s">
        <v>36</v>
      </c>
      <c r="C37" s="99">
        <v>2940.56</v>
      </c>
      <c r="D37" s="99">
        <v>2940.56</v>
      </c>
      <c r="E37" s="99">
        <v>2940.56</v>
      </c>
      <c r="F37" s="99">
        <v>2940.56</v>
      </c>
      <c r="G37" s="99">
        <v>2940.56</v>
      </c>
      <c r="H37" s="99">
        <v>2047.42</v>
      </c>
      <c r="I37" s="99">
        <f>4134.84+1515.64</f>
        <v>5650.4800000000005</v>
      </c>
      <c r="J37" s="99">
        <f>2311.35+1386.71</f>
        <v>3698.06</v>
      </c>
      <c r="K37" s="99">
        <f>2291.63+1406.42</f>
        <v>3698.05</v>
      </c>
      <c r="L37" s="99">
        <f>2498.78+1199.28</f>
        <v>3698.0600000000004</v>
      </c>
      <c r="M37" s="99">
        <f>2423.87+1274.22</f>
        <v>3698.09</v>
      </c>
      <c r="N37" s="99">
        <f>2577.85+1120.18</f>
        <v>3698.0299999999997</v>
      </c>
      <c r="O37" s="99">
        <f t="shared" si="5"/>
        <v>40890.990000000005</v>
      </c>
      <c r="Y37" s="110"/>
    </row>
    <row r="38" spans="2:25" s="109" customFormat="1" ht="12">
      <c r="B38" s="99" t="s">
        <v>35</v>
      </c>
      <c r="C38" s="99">
        <v>671.47</v>
      </c>
      <c r="D38" s="99">
        <v>671.47</v>
      </c>
      <c r="E38" s="99">
        <v>671.47</v>
      </c>
      <c r="F38" s="99">
        <v>671.47</v>
      </c>
      <c r="G38" s="99">
        <v>671.47</v>
      </c>
      <c r="H38" s="99">
        <v>671.47</v>
      </c>
      <c r="I38" s="99">
        <v>958.72</v>
      </c>
      <c r="J38" s="99">
        <v>958.72</v>
      </c>
      <c r="K38" s="99">
        <v>958.72</v>
      </c>
      <c r="L38" s="99">
        <v>958.72</v>
      </c>
      <c r="M38" s="99">
        <v>958.72</v>
      </c>
      <c r="N38" s="99">
        <v>958.72</v>
      </c>
      <c r="O38" s="99">
        <f t="shared" si="5"/>
        <v>9781.140000000001</v>
      </c>
      <c r="Y38" s="110"/>
    </row>
    <row r="39" spans="2:25" s="109" customFormat="1" ht="12">
      <c r="B39" s="99" t="s">
        <v>29</v>
      </c>
      <c r="C39" s="99">
        <v>97.68</v>
      </c>
      <c r="D39" s="99">
        <v>282.92</v>
      </c>
      <c r="E39" s="99">
        <v>83.36</v>
      </c>
      <c r="F39" s="99">
        <v>165.24</v>
      </c>
      <c r="G39" s="99"/>
      <c r="H39" s="99">
        <v>100.56</v>
      </c>
      <c r="I39" s="99">
        <f>100.56</f>
        <v>100.56</v>
      </c>
      <c r="J39" s="99">
        <v>304.94</v>
      </c>
      <c r="K39" s="99">
        <v>159.44</v>
      </c>
      <c r="L39" s="99">
        <v>2329.38</v>
      </c>
      <c r="M39" s="99">
        <v>178.88</v>
      </c>
      <c r="N39" s="99">
        <v>101.94</v>
      </c>
      <c r="O39" s="99">
        <f t="shared" si="5"/>
        <v>3904.9</v>
      </c>
      <c r="Y39" s="110"/>
    </row>
    <row r="40" spans="2:25" s="109" customFormat="1" ht="12">
      <c r="B40" s="99" t="s">
        <v>183</v>
      </c>
      <c r="C40" s="99">
        <v>4000</v>
      </c>
      <c r="D40" s="99">
        <v>500</v>
      </c>
      <c r="E40" s="99">
        <v>8000</v>
      </c>
      <c r="F40" s="99">
        <v>4000</v>
      </c>
      <c r="G40" s="99">
        <v>4000</v>
      </c>
      <c r="H40" s="99"/>
      <c r="I40" s="99">
        <v>4000</v>
      </c>
      <c r="J40" s="99">
        <v>4000</v>
      </c>
      <c r="K40" s="99">
        <v>4000</v>
      </c>
      <c r="L40" s="99">
        <v>4000</v>
      </c>
      <c r="M40" s="99">
        <v>4000</v>
      </c>
      <c r="N40" s="99">
        <v>4000</v>
      </c>
      <c r="O40" s="99">
        <f t="shared" si="5"/>
        <v>44500</v>
      </c>
      <c r="Y40" s="110"/>
    </row>
    <row r="41" spans="2:25" s="109" customFormat="1" ht="12">
      <c r="B41" s="99" t="s">
        <v>40</v>
      </c>
      <c r="C41" s="99"/>
      <c r="D41" s="99"/>
      <c r="E41" s="99"/>
      <c r="F41" s="99"/>
      <c r="G41" s="99"/>
      <c r="H41" s="99">
        <v>1212.77</v>
      </c>
      <c r="I41" s="99">
        <v>1212.77</v>
      </c>
      <c r="J41" s="99">
        <v>1212.77</v>
      </c>
      <c r="K41" s="99"/>
      <c r="L41" s="99"/>
      <c r="M41" s="99"/>
      <c r="N41" s="99"/>
      <c r="O41" s="99">
        <f t="shared" si="5"/>
        <v>3638.31</v>
      </c>
      <c r="Y41" s="110"/>
    </row>
    <row r="42" spans="2:25" s="109" customFormat="1" ht="12">
      <c r="B42" s="99" t="s">
        <v>41</v>
      </c>
      <c r="C42" s="99"/>
      <c r="D42" s="99"/>
      <c r="E42" s="99"/>
      <c r="F42" s="99"/>
      <c r="G42" s="99">
        <v>20544.05</v>
      </c>
      <c r="H42" s="99">
        <v>30</v>
      </c>
      <c r="I42" s="99"/>
      <c r="J42" s="99"/>
      <c r="K42" s="99"/>
      <c r="L42" s="99"/>
      <c r="M42" s="99"/>
      <c r="N42" s="99"/>
      <c r="O42" s="99">
        <f t="shared" si="5"/>
        <v>20574.05</v>
      </c>
      <c r="Y42" s="110"/>
    </row>
    <row r="43" spans="2:25" s="109" customFormat="1" ht="12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Y43" s="110"/>
    </row>
    <row r="44" spans="2:25" s="109" customFormat="1" ht="12">
      <c r="B44" s="108" t="s">
        <v>42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Y44" s="110"/>
    </row>
    <row r="45" spans="2:25" s="109" customFormat="1" ht="12">
      <c r="B45" s="99" t="s">
        <v>45</v>
      </c>
      <c r="C45" s="99">
        <v>223.06</v>
      </c>
      <c r="D45" s="99">
        <v>223.06</v>
      </c>
      <c r="E45" s="99">
        <v>223.06</v>
      </c>
      <c r="F45" s="99">
        <v>223.06</v>
      </c>
      <c r="G45" s="99">
        <v>223.06</v>
      </c>
      <c r="H45" s="99">
        <v>223.06</v>
      </c>
      <c r="I45" s="99">
        <v>223.06</v>
      </c>
      <c r="J45" s="99">
        <v>223.06</v>
      </c>
      <c r="K45" s="99">
        <v>223.06</v>
      </c>
      <c r="L45" s="99">
        <v>223.06</v>
      </c>
      <c r="M45" s="99">
        <v>223.06</v>
      </c>
      <c r="N45" s="99">
        <v>223.06</v>
      </c>
      <c r="O45" s="99">
        <f t="shared" si="5"/>
        <v>2676.72</v>
      </c>
      <c r="Y45" s="110"/>
    </row>
    <row r="46" spans="2:25" s="109" customFormat="1" ht="12">
      <c r="B46" s="99" t="s">
        <v>126</v>
      </c>
      <c r="C46" s="99">
        <v>239.24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>
        <f t="shared" si="5"/>
        <v>239.24</v>
      </c>
      <c r="Y46" s="110"/>
    </row>
    <row r="47" spans="2:25" s="109" customFormat="1" ht="12">
      <c r="B47" s="99" t="s">
        <v>69</v>
      </c>
      <c r="C47" s="99"/>
      <c r="D47" s="99">
        <v>58.88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>
        <f t="shared" si="5"/>
        <v>58.88</v>
      </c>
      <c r="Y47" s="110"/>
    </row>
    <row r="48" spans="2:25" s="109" customFormat="1" ht="12">
      <c r="B48" s="99" t="s">
        <v>47</v>
      </c>
      <c r="C48" s="99"/>
      <c r="D48" s="99">
        <v>117.6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>
        <f t="shared" si="5"/>
        <v>117.6</v>
      </c>
      <c r="Y48" s="110"/>
    </row>
    <row r="49" spans="2:25" s="109" customFormat="1" ht="12">
      <c r="B49" s="111" t="s">
        <v>48</v>
      </c>
      <c r="C49" s="99"/>
      <c r="D49" s="99"/>
      <c r="E49" s="99">
        <v>17.6</v>
      </c>
      <c r="F49" s="99"/>
      <c r="G49" s="99"/>
      <c r="H49" s="99"/>
      <c r="I49" s="99"/>
      <c r="J49" s="99"/>
      <c r="K49" s="99"/>
      <c r="L49" s="99"/>
      <c r="M49" s="99"/>
      <c r="N49" s="99"/>
      <c r="O49" s="99">
        <f t="shared" si="5"/>
        <v>17.6</v>
      </c>
      <c r="Y49" s="110"/>
    </row>
    <row r="50" spans="2:25" s="109" customFormat="1" ht="12">
      <c r="B50" s="99" t="s">
        <v>50</v>
      </c>
      <c r="C50" s="99"/>
      <c r="D50" s="99"/>
      <c r="E50" s="112">
        <v>385.76</v>
      </c>
      <c r="F50" s="99"/>
      <c r="G50" s="99"/>
      <c r="H50" s="99">
        <v>780</v>
      </c>
      <c r="I50" s="99"/>
      <c r="J50" s="99"/>
      <c r="K50" s="99"/>
      <c r="L50" s="99"/>
      <c r="M50" s="99"/>
      <c r="N50" s="99"/>
      <c r="O50" s="99">
        <f t="shared" si="5"/>
        <v>1165.76</v>
      </c>
      <c r="Y50" s="110"/>
    </row>
    <row r="51" spans="2:25" s="109" customFormat="1" ht="12">
      <c r="B51" s="99" t="s">
        <v>51</v>
      </c>
      <c r="C51" s="99"/>
      <c r="D51" s="99"/>
      <c r="E51" s="99"/>
      <c r="F51" s="99"/>
      <c r="G51" s="99">
        <v>405.77</v>
      </c>
      <c r="H51" s="99">
        <f>116.96+58.48</f>
        <v>175.44</v>
      </c>
      <c r="I51" s="99">
        <v>184.14</v>
      </c>
      <c r="J51" s="99">
        <v>80.76</v>
      </c>
      <c r="K51" s="99"/>
      <c r="L51" s="99"/>
      <c r="M51" s="99">
        <v>959.68</v>
      </c>
      <c r="N51" s="99"/>
      <c r="O51" s="99">
        <f t="shared" si="5"/>
        <v>1805.79</v>
      </c>
      <c r="Y51" s="110"/>
    </row>
    <row r="52" spans="2:25" s="109" customFormat="1" ht="12">
      <c r="B52" s="99" t="s">
        <v>70</v>
      </c>
      <c r="C52" s="99"/>
      <c r="D52" s="99">
        <v>1463.32</v>
      </c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>
        <f t="shared" si="5"/>
        <v>1463.32</v>
      </c>
      <c r="Y52" s="110"/>
    </row>
    <row r="53" spans="2:25" s="109" customFormat="1" ht="12">
      <c r="B53" s="99" t="s">
        <v>71</v>
      </c>
      <c r="C53" s="99"/>
      <c r="D53" s="99"/>
      <c r="E53" s="99">
        <v>200</v>
      </c>
      <c r="F53" s="99"/>
      <c r="G53" s="99"/>
      <c r="H53" s="99"/>
      <c r="I53" s="99"/>
      <c r="J53" s="99"/>
      <c r="K53" s="99"/>
      <c r="L53" s="99"/>
      <c r="M53" s="99"/>
      <c r="N53" s="99"/>
      <c r="O53" s="99">
        <f t="shared" si="5"/>
        <v>200</v>
      </c>
      <c r="Y53" s="110"/>
    </row>
    <row r="54" spans="2:25" s="109" customFormat="1" ht="12">
      <c r="B54" s="99" t="s">
        <v>72</v>
      </c>
      <c r="C54" s="99"/>
      <c r="D54" s="99"/>
      <c r="E54" s="99"/>
      <c r="F54" s="99">
        <v>4300</v>
      </c>
      <c r="G54" s="99"/>
      <c r="H54" s="99"/>
      <c r="I54" s="99"/>
      <c r="J54" s="99"/>
      <c r="K54" s="99"/>
      <c r="L54" s="99"/>
      <c r="M54" s="99"/>
      <c r="N54" s="99"/>
      <c r="O54" s="99">
        <f t="shared" si="5"/>
        <v>4300</v>
      </c>
      <c r="Y54" s="110"/>
    </row>
    <row r="55" spans="2:25" s="109" customFormat="1" ht="12">
      <c r="B55" s="111" t="s">
        <v>73</v>
      </c>
      <c r="C55" s="99"/>
      <c r="D55" s="99"/>
      <c r="E55" s="99"/>
      <c r="F55" s="99">
        <v>8000</v>
      </c>
      <c r="G55" s="99"/>
      <c r="H55" s="99"/>
      <c r="I55" s="99"/>
      <c r="J55" s="99"/>
      <c r="K55" s="99"/>
      <c r="L55" s="99"/>
      <c r="M55" s="99"/>
      <c r="N55" s="99"/>
      <c r="O55" s="99">
        <f t="shared" si="5"/>
        <v>8000</v>
      </c>
      <c r="Y55" s="110"/>
    </row>
    <row r="56" spans="2:25" s="109" customFormat="1" ht="12">
      <c r="B56" s="99" t="s">
        <v>74</v>
      </c>
      <c r="C56" s="99"/>
      <c r="D56" s="99"/>
      <c r="E56" s="99"/>
      <c r="F56" s="99">
        <v>15960</v>
      </c>
      <c r="G56" s="99"/>
      <c r="H56" s="99"/>
      <c r="I56" s="99"/>
      <c r="J56" s="99"/>
      <c r="K56" s="99"/>
      <c r="L56" s="99"/>
      <c r="M56" s="99"/>
      <c r="N56" s="99"/>
      <c r="O56" s="99">
        <f t="shared" si="5"/>
        <v>15960</v>
      </c>
      <c r="Y56" s="110"/>
    </row>
    <row r="57" spans="2:25" s="109" customFormat="1" ht="12">
      <c r="B57" s="99" t="s">
        <v>75</v>
      </c>
      <c r="C57" s="99"/>
      <c r="D57" s="99"/>
      <c r="E57" s="99"/>
      <c r="F57" s="99">
        <v>2493</v>
      </c>
      <c r="G57" s="99"/>
      <c r="H57" s="99"/>
      <c r="I57" s="99"/>
      <c r="J57" s="99"/>
      <c r="K57" s="99"/>
      <c r="L57" s="99"/>
      <c r="M57" s="99"/>
      <c r="N57" s="99"/>
      <c r="O57" s="99">
        <f t="shared" si="5"/>
        <v>2493</v>
      </c>
      <c r="Y57" s="110"/>
    </row>
    <row r="58" spans="2:25" s="109" customFormat="1" ht="12">
      <c r="B58" s="99" t="s">
        <v>128</v>
      </c>
      <c r="C58" s="99"/>
      <c r="D58" s="99"/>
      <c r="E58" s="99"/>
      <c r="F58" s="99"/>
      <c r="G58" s="99">
        <v>440</v>
      </c>
      <c r="H58" s="99"/>
      <c r="I58" s="99"/>
      <c r="J58" s="99"/>
      <c r="K58" s="99"/>
      <c r="L58" s="99"/>
      <c r="M58" s="99"/>
      <c r="N58" s="99"/>
      <c r="O58" s="99">
        <f t="shared" si="5"/>
        <v>440</v>
      </c>
      <c r="Y58" s="110"/>
    </row>
    <row r="59" spans="2:25" s="109" customFormat="1" ht="12">
      <c r="B59" s="99" t="s">
        <v>76</v>
      </c>
      <c r="C59" s="99"/>
      <c r="D59" s="99"/>
      <c r="E59" s="99"/>
      <c r="F59" s="99"/>
      <c r="G59" s="99"/>
      <c r="H59" s="99">
        <v>1500</v>
      </c>
      <c r="I59" s="99"/>
      <c r="J59" s="99"/>
      <c r="K59" s="99"/>
      <c r="L59" s="99"/>
      <c r="M59" s="99"/>
      <c r="N59" s="99"/>
      <c r="O59" s="99">
        <f t="shared" si="5"/>
        <v>1500</v>
      </c>
      <c r="Y59" s="110"/>
    </row>
    <row r="60" spans="2:25" s="109" customFormat="1" ht="12">
      <c r="B60" s="99" t="s">
        <v>129</v>
      </c>
      <c r="C60" s="99"/>
      <c r="D60" s="99"/>
      <c r="E60" s="99"/>
      <c r="F60" s="99"/>
      <c r="G60" s="99"/>
      <c r="H60" s="99">
        <v>850</v>
      </c>
      <c r="I60" s="99"/>
      <c r="J60" s="99"/>
      <c r="K60" s="99"/>
      <c r="L60" s="99"/>
      <c r="M60" s="99"/>
      <c r="N60" s="99"/>
      <c r="O60" s="99">
        <f t="shared" si="5"/>
        <v>850</v>
      </c>
      <c r="Y60" s="110"/>
    </row>
    <row r="61" spans="2:25" s="109" customFormat="1" ht="12">
      <c r="B61" s="99" t="s">
        <v>130</v>
      </c>
      <c r="C61" s="99"/>
      <c r="D61" s="99"/>
      <c r="E61" s="99"/>
      <c r="F61" s="99"/>
      <c r="G61" s="99"/>
      <c r="H61" s="99"/>
      <c r="I61" s="99">
        <v>161.84</v>
      </c>
      <c r="J61" s="99"/>
      <c r="K61" s="99"/>
      <c r="L61" s="99"/>
      <c r="M61" s="99"/>
      <c r="N61" s="99"/>
      <c r="O61" s="99">
        <f t="shared" si="5"/>
        <v>161.84</v>
      </c>
      <c r="Y61" s="110"/>
    </row>
    <row r="62" spans="2:25" s="109" customFormat="1" ht="12">
      <c r="B62" s="99" t="s">
        <v>175</v>
      </c>
      <c r="C62" s="99"/>
      <c r="D62" s="99"/>
      <c r="E62" s="99"/>
      <c r="F62" s="99"/>
      <c r="G62" s="99"/>
      <c r="H62" s="99"/>
      <c r="I62" s="99">
        <v>1600</v>
      </c>
      <c r="J62" s="99"/>
      <c r="K62" s="99"/>
      <c r="L62" s="99"/>
      <c r="M62" s="99"/>
      <c r="N62" s="99"/>
      <c r="O62" s="99">
        <f t="shared" si="5"/>
        <v>1600</v>
      </c>
      <c r="Y62" s="110"/>
    </row>
    <row r="63" spans="2:25" s="109" customFormat="1" ht="12">
      <c r="B63" s="99" t="s">
        <v>176</v>
      </c>
      <c r="C63" s="99"/>
      <c r="D63" s="99"/>
      <c r="E63" s="99"/>
      <c r="F63" s="99"/>
      <c r="G63" s="99"/>
      <c r="H63" s="99"/>
      <c r="I63" s="99">
        <v>106</v>
      </c>
      <c r="J63" s="99"/>
      <c r="K63" s="99"/>
      <c r="L63" s="99"/>
      <c r="M63" s="99"/>
      <c r="N63" s="99"/>
      <c r="O63" s="99">
        <f t="shared" si="5"/>
        <v>106</v>
      </c>
      <c r="Y63" s="110"/>
    </row>
    <row r="64" spans="2:25" s="109" customFormat="1" ht="12">
      <c r="B64" s="99" t="s">
        <v>177</v>
      </c>
      <c r="C64" s="99"/>
      <c r="D64" s="99"/>
      <c r="E64" s="99"/>
      <c r="F64" s="99"/>
      <c r="G64" s="99"/>
      <c r="H64" s="99"/>
      <c r="I64" s="99"/>
      <c r="J64" s="99"/>
      <c r="K64" s="99">
        <v>7600</v>
      </c>
      <c r="L64" s="99"/>
      <c r="M64" s="99"/>
      <c r="N64" s="99"/>
      <c r="O64" s="99">
        <f t="shared" si="5"/>
        <v>7600</v>
      </c>
      <c r="Y64" s="110"/>
    </row>
    <row r="65" spans="2:25" s="109" customFormat="1" ht="12">
      <c r="B65" s="99" t="s">
        <v>178</v>
      </c>
      <c r="C65" s="99"/>
      <c r="D65" s="99"/>
      <c r="E65" s="99"/>
      <c r="F65" s="99"/>
      <c r="G65" s="99"/>
      <c r="H65" s="99"/>
      <c r="I65" s="99"/>
      <c r="J65" s="99"/>
      <c r="K65" s="99"/>
      <c r="L65" s="99">
        <v>8000</v>
      </c>
      <c r="M65" s="99"/>
      <c r="N65" s="99"/>
      <c r="O65" s="99">
        <f t="shared" si="5"/>
        <v>8000</v>
      </c>
      <c r="Y65" s="110"/>
    </row>
    <row r="66" spans="2:25" s="109" customFormat="1" ht="12">
      <c r="B66" s="99" t="s">
        <v>184</v>
      </c>
      <c r="C66" s="99"/>
      <c r="D66" s="99"/>
      <c r="E66" s="99"/>
      <c r="F66" s="99"/>
      <c r="G66" s="99"/>
      <c r="H66" s="99"/>
      <c r="I66" s="99"/>
      <c r="J66" s="99"/>
      <c r="K66" s="99"/>
      <c r="L66" s="99">
        <v>5500</v>
      </c>
      <c r="M66" s="99"/>
      <c r="N66" s="99"/>
      <c r="O66" s="99">
        <f t="shared" si="5"/>
        <v>5500</v>
      </c>
      <c r="Y66" s="110"/>
    </row>
    <row r="67" spans="2:25" s="109" customFormat="1" ht="12">
      <c r="B67" s="99" t="s">
        <v>179</v>
      </c>
      <c r="C67" s="99"/>
      <c r="D67" s="99"/>
      <c r="E67" s="99"/>
      <c r="F67" s="99"/>
      <c r="G67" s="99"/>
      <c r="H67" s="99"/>
      <c r="I67" s="99"/>
      <c r="J67" s="99"/>
      <c r="K67" s="99"/>
      <c r="L67" s="99">
        <v>35000</v>
      </c>
      <c r="M67" s="99"/>
      <c r="N67" s="99"/>
      <c r="O67" s="99">
        <f t="shared" si="5"/>
        <v>35000</v>
      </c>
      <c r="Y67" s="110"/>
    </row>
    <row r="68" spans="2:25" s="109" customFormat="1" ht="12">
      <c r="B68" s="99" t="s">
        <v>180</v>
      </c>
      <c r="C68" s="99"/>
      <c r="D68" s="99"/>
      <c r="E68" s="99"/>
      <c r="F68" s="99"/>
      <c r="G68" s="99"/>
      <c r="H68" s="99"/>
      <c r="I68" s="99"/>
      <c r="J68" s="99"/>
      <c r="K68" s="99"/>
      <c r="L68" s="99">
        <v>82254.2</v>
      </c>
      <c r="M68" s="99"/>
      <c r="N68" s="99"/>
      <c r="O68" s="99">
        <f t="shared" si="5"/>
        <v>82254.2</v>
      </c>
      <c r="Y68" s="110"/>
    </row>
    <row r="69" spans="2:25" s="109" customFormat="1" ht="12">
      <c r="B69" s="99" t="s">
        <v>181</v>
      </c>
      <c r="C69" s="99"/>
      <c r="D69" s="99"/>
      <c r="E69" s="99"/>
      <c r="F69" s="99"/>
      <c r="G69" s="99"/>
      <c r="H69" s="99"/>
      <c r="I69" s="99"/>
      <c r="J69" s="99"/>
      <c r="K69" s="99"/>
      <c r="L69" s="99">
        <v>1000</v>
      </c>
      <c r="M69" s="99">
        <v>1000</v>
      </c>
      <c r="N69" s="99">
        <v>1000</v>
      </c>
      <c r="O69" s="99">
        <f t="shared" si="5"/>
        <v>3000</v>
      </c>
      <c r="Y69" s="110"/>
    </row>
    <row r="70" spans="2:25" s="109" customFormat="1" ht="12">
      <c r="B70" s="99" t="s">
        <v>182</v>
      </c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>
        <v>103.88</v>
      </c>
      <c r="O70" s="99">
        <f t="shared" si="5"/>
        <v>103.88</v>
      </c>
      <c r="Y70" s="110"/>
    </row>
    <row r="71" spans="2:25" s="109" customFormat="1" ht="12" hidden="1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>
        <f t="shared" si="5"/>
        <v>0</v>
      </c>
      <c r="Y71" s="110"/>
    </row>
    <row r="72" spans="2:25" s="109" customFormat="1" ht="12" hidden="1"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>
        <f t="shared" si="5"/>
        <v>0</v>
      </c>
      <c r="Y72" s="110"/>
    </row>
    <row r="73" spans="2:25" s="109" customFormat="1" ht="12" hidden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>
        <f t="shared" si="5"/>
        <v>0</v>
      </c>
      <c r="Y73" s="110"/>
    </row>
    <row r="74" spans="2:25" s="109" customFormat="1" ht="12">
      <c r="B74" s="108" t="s">
        <v>16</v>
      </c>
      <c r="C74" s="108">
        <f aca="true" t="shared" si="6" ref="C74:O74">SUM(C31:C73)</f>
        <v>39004.71</v>
      </c>
      <c r="D74" s="108">
        <f t="shared" si="6"/>
        <v>44946.42999999999</v>
      </c>
      <c r="E74" s="108">
        <f t="shared" si="6"/>
        <v>51382.95999999999</v>
      </c>
      <c r="F74" s="108">
        <f t="shared" si="6"/>
        <v>76741.51</v>
      </c>
      <c r="G74" s="108">
        <f t="shared" si="6"/>
        <v>69103.2</v>
      </c>
      <c r="H74" s="108">
        <f t="shared" si="6"/>
        <v>46213.55999999999</v>
      </c>
      <c r="I74" s="108">
        <f t="shared" si="6"/>
        <v>48992.539999999986</v>
      </c>
      <c r="J74" s="108">
        <f t="shared" si="6"/>
        <v>42797.8</v>
      </c>
      <c r="K74" s="108">
        <f t="shared" si="6"/>
        <v>53901.03</v>
      </c>
      <c r="L74" s="108">
        <f t="shared" si="6"/>
        <v>183610.08999999997</v>
      </c>
      <c r="M74" s="108">
        <f t="shared" si="6"/>
        <v>44707.48999999999</v>
      </c>
      <c r="N74" s="108">
        <f t="shared" si="6"/>
        <v>53464.77</v>
      </c>
      <c r="O74" s="108">
        <f t="shared" si="6"/>
        <v>754866.0900000001</v>
      </c>
      <c r="Y74" s="110"/>
    </row>
    <row r="76" spans="2:15" ht="12">
      <c r="B76" s="113" t="s">
        <v>149</v>
      </c>
      <c r="C76" s="114" t="e">
        <f aca="true" t="shared" si="7" ref="C76:O76">C10+C23-C74</f>
        <v>#REF!</v>
      </c>
      <c r="D76" s="114" t="e">
        <f t="shared" si="7"/>
        <v>#REF!</v>
      </c>
      <c r="E76" s="114" t="e">
        <f t="shared" si="7"/>
        <v>#REF!</v>
      </c>
      <c r="F76" s="114" t="e">
        <f t="shared" si="7"/>
        <v>#REF!</v>
      </c>
      <c r="G76" s="114" t="e">
        <f t="shared" si="7"/>
        <v>#REF!</v>
      </c>
      <c r="H76" s="114" t="e">
        <f t="shared" si="7"/>
        <v>#REF!</v>
      </c>
      <c r="I76" s="114" t="e">
        <f t="shared" si="7"/>
        <v>#REF!</v>
      </c>
      <c r="J76" s="114" t="e">
        <f t="shared" si="7"/>
        <v>#REF!</v>
      </c>
      <c r="K76" s="114" t="e">
        <f t="shared" si="7"/>
        <v>#REF!</v>
      </c>
      <c r="L76" s="114" t="e">
        <f t="shared" si="7"/>
        <v>#REF!</v>
      </c>
      <c r="M76" s="114" t="e">
        <f t="shared" si="7"/>
        <v>#REF!</v>
      </c>
      <c r="N76" s="114" t="e">
        <f t="shared" si="7"/>
        <v>#REF!</v>
      </c>
      <c r="O76" s="115">
        <f t="shared" si="7"/>
        <v>21046.26000000001</v>
      </c>
    </row>
    <row r="77" spans="2:15" ht="12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9"/>
    </row>
    <row r="78" spans="2:15" ht="12" hidden="1">
      <c r="B78" s="116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9"/>
    </row>
    <row r="79" spans="2:15" s="87" customFormat="1" ht="12"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</row>
    <row r="80" spans="2:15" s="87" customFormat="1" ht="12">
      <c r="B80" s="117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</row>
    <row r="81" spans="2:15" s="87" customFormat="1" ht="12"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</row>
    <row r="82" ht="12">
      <c r="B82" s="86" t="s">
        <v>24</v>
      </c>
    </row>
    <row r="83" ht="12">
      <c r="B83" s="86" t="s">
        <v>25</v>
      </c>
    </row>
  </sheetData>
  <sheetProtection selectLockedCells="1" selectUnlockedCells="1"/>
  <mergeCells count="3">
    <mergeCell ref="B1:O1"/>
    <mergeCell ref="B2:O2"/>
    <mergeCell ref="B3:O3"/>
  </mergeCells>
  <printOptions/>
  <pageMargins left="1.93" right="0.7" top="0.75" bottom="0.75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Y72"/>
  <sheetViews>
    <sheetView zoomScalePageLayoutView="0" workbookViewId="0" topLeftCell="A1">
      <pane xSplit="2" ySplit="7" topLeftCell="C5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60" sqref="Q60"/>
    </sheetView>
  </sheetViews>
  <sheetFormatPr defaultColWidth="26.75390625" defaultRowHeight="12.75"/>
  <cols>
    <col min="1" max="1" width="19.25390625" style="86" customWidth="1"/>
    <col min="2" max="2" width="43.375" style="86" customWidth="1"/>
    <col min="3" max="3" width="8.625" style="86" hidden="1" customWidth="1"/>
    <col min="4" max="5" width="9.375" style="86" hidden="1" customWidth="1"/>
    <col min="6" max="6" width="10.25390625" style="86" hidden="1" customWidth="1"/>
    <col min="7" max="7" width="9.125" style="86" hidden="1" customWidth="1"/>
    <col min="8" max="8" width="9.00390625" style="86" hidden="1" customWidth="1"/>
    <col min="9" max="9" width="8.875" style="86" hidden="1" customWidth="1"/>
    <col min="10" max="10" width="9.25390625" style="86" hidden="1" customWidth="1"/>
    <col min="11" max="11" width="11.25390625" style="86" hidden="1" customWidth="1"/>
    <col min="12" max="12" width="9.75390625" style="86" hidden="1" customWidth="1"/>
    <col min="13" max="13" width="8.75390625" style="86" hidden="1" customWidth="1"/>
    <col min="14" max="14" width="9.25390625" style="86" hidden="1" customWidth="1"/>
    <col min="15" max="15" width="9.25390625" style="87" customWidth="1"/>
    <col min="16" max="16" width="7.625" style="86" customWidth="1"/>
    <col min="17" max="24" width="26.75390625" style="86" customWidth="1"/>
    <col min="25" max="25" width="26.75390625" style="87" customWidth="1"/>
    <col min="26" max="16384" width="26.75390625" style="86" customWidth="1"/>
  </cols>
  <sheetData>
    <row r="1" spans="2:16" ht="12" hidden="1"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85"/>
    </row>
    <row r="2" spans="2:16" ht="12">
      <c r="B2" s="194" t="s">
        <v>151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85"/>
    </row>
    <row r="3" spans="2:16" ht="12">
      <c r="B3" s="194" t="s">
        <v>152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85"/>
    </row>
    <row r="4" spans="2:16" ht="12">
      <c r="B4" s="195" t="s">
        <v>115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85"/>
    </row>
    <row r="5" ht="12" hidden="1"/>
    <row r="6" spans="2:15" ht="12" hidden="1">
      <c r="B6" s="119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9"/>
    </row>
    <row r="7" spans="2:15" ht="24">
      <c r="B7" s="157" t="s">
        <v>116</v>
      </c>
      <c r="C7" s="158" t="s">
        <v>0</v>
      </c>
      <c r="D7" s="158" t="s">
        <v>1</v>
      </c>
      <c r="E7" s="158" t="s">
        <v>2</v>
      </c>
      <c r="F7" s="158" t="s">
        <v>3</v>
      </c>
      <c r="G7" s="158" t="s">
        <v>4</v>
      </c>
      <c r="H7" s="158" t="s">
        <v>5</v>
      </c>
      <c r="I7" s="158" t="s">
        <v>6</v>
      </c>
      <c r="J7" s="158" t="s">
        <v>7</v>
      </c>
      <c r="K7" s="158" t="s">
        <v>8</v>
      </c>
      <c r="L7" s="158" t="s">
        <v>9</v>
      </c>
      <c r="M7" s="158" t="s">
        <v>10</v>
      </c>
      <c r="N7" s="158" t="s">
        <v>11</v>
      </c>
      <c r="O7" s="92" t="s">
        <v>150</v>
      </c>
    </row>
    <row r="8" spans="2:15" ht="12">
      <c r="B8" s="94" t="s">
        <v>43</v>
      </c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4"/>
    </row>
    <row r="9" spans="2:15" ht="12">
      <c r="B9" s="93" t="s">
        <v>13</v>
      </c>
      <c r="C9" s="93">
        <v>13116.45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>
        <f>C9+D9+E9+F9+G9+H9+I9+J9+K9+L9+M9+N9</f>
        <v>13116.45</v>
      </c>
    </row>
    <row r="10" spans="2:15" s="87" customFormat="1" ht="12">
      <c r="B10" s="94" t="s">
        <v>16</v>
      </c>
      <c r="C10" s="94">
        <f>C9</f>
        <v>13116.45</v>
      </c>
      <c r="D10" s="94">
        <f aca="true" t="shared" si="0" ref="D10:I10">C69</f>
        <v>-1597.0599999999977</v>
      </c>
      <c r="E10" s="94">
        <f t="shared" si="0"/>
        <v>-1894.6399999999976</v>
      </c>
      <c r="F10" s="94">
        <f t="shared" si="0"/>
        <v>3759.880000000003</v>
      </c>
      <c r="G10" s="94">
        <f t="shared" si="0"/>
        <v>-66.00999999999658</v>
      </c>
      <c r="H10" s="94">
        <f t="shared" si="0"/>
        <v>-2801.6699999999946</v>
      </c>
      <c r="I10" s="94">
        <f t="shared" si="0"/>
        <v>-13125.979999999992</v>
      </c>
      <c r="J10" s="94">
        <f>I69</f>
        <v>-9224.269999999995</v>
      </c>
      <c r="K10" s="94">
        <f>J69</f>
        <v>-2528.529999999995</v>
      </c>
      <c r="L10" s="94">
        <f>K69</f>
        <v>-9291.499999999993</v>
      </c>
      <c r="M10" s="94">
        <f>L69</f>
        <v>-7771.009999999993</v>
      </c>
      <c r="N10" s="94">
        <f>M69</f>
        <v>8668.000000000011</v>
      </c>
      <c r="O10" s="94">
        <f>O9</f>
        <v>13116.45</v>
      </c>
    </row>
    <row r="11" spans="2:15" ht="12"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4"/>
    </row>
    <row r="12" spans="2:25" s="97" customFormat="1" ht="12">
      <c r="B12" s="95" t="s">
        <v>17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5"/>
      <c r="Y12" s="98"/>
    </row>
    <row r="13" spans="2:25" s="97" customFormat="1" ht="12">
      <c r="B13" s="96" t="s">
        <v>13</v>
      </c>
      <c r="C13" s="96">
        <v>13100.73</v>
      </c>
      <c r="D13" s="96">
        <v>13100.73</v>
      </c>
      <c r="E13" s="96">
        <v>13100.73</v>
      </c>
      <c r="F13" s="96">
        <v>13100.73</v>
      </c>
      <c r="G13" s="96">
        <v>13100.73</v>
      </c>
      <c r="H13" s="96">
        <v>13100.73</v>
      </c>
      <c r="I13" s="96">
        <v>15051.75</v>
      </c>
      <c r="J13" s="96">
        <v>15051.75</v>
      </c>
      <c r="K13" s="96">
        <v>15051.75</v>
      </c>
      <c r="L13" s="96">
        <v>15051.75</v>
      </c>
      <c r="M13" s="96">
        <v>15051.75</v>
      </c>
      <c r="N13" s="96">
        <v>15051.75</v>
      </c>
      <c r="O13" s="96">
        <f>C13+D13+E13+F13+G13+H13+I13+J13+K13+L13+M13+N13</f>
        <v>168914.88</v>
      </c>
      <c r="Y13" s="98"/>
    </row>
    <row r="14" spans="2:25" s="97" customFormat="1" ht="12">
      <c r="B14" s="96" t="s">
        <v>212</v>
      </c>
      <c r="C14" s="96"/>
      <c r="D14" s="96"/>
      <c r="E14" s="96"/>
      <c r="F14" s="96"/>
      <c r="G14" s="96"/>
      <c r="H14" s="96"/>
      <c r="I14" s="96"/>
      <c r="J14" s="96"/>
      <c r="K14" s="96"/>
      <c r="L14" s="96">
        <v>9591.08</v>
      </c>
      <c r="M14" s="96"/>
      <c r="N14" s="96"/>
      <c r="O14" s="96">
        <f>C14+D14+E14+F14+G14+H14+I14+J14+K14+L14+M14+N14</f>
        <v>9591.08</v>
      </c>
      <c r="Y14" s="98"/>
    </row>
    <row r="15" spans="2:15" s="98" customFormat="1" ht="12">
      <c r="B15" s="95" t="s">
        <v>16</v>
      </c>
      <c r="C15" s="95">
        <f aca="true" t="shared" si="1" ref="C15:N15">SUM(C12:C14)</f>
        <v>13100.73</v>
      </c>
      <c r="D15" s="95">
        <f t="shared" si="1"/>
        <v>13100.73</v>
      </c>
      <c r="E15" s="95">
        <f t="shared" si="1"/>
        <v>13100.73</v>
      </c>
      <c r="F15" s="95">
        <f t="shared" si="1"/>
        <v>13100.73</v>
      </c>
      <c r="G15" s="95">
        <f t="shared" si="1"/>
        <v>13100.73</v>
      </c>
      <c r="H15" s="95">
        <f t="shared" si="1"/>
        <v>13100.73</v>
      </c>
      <c r="I15" s="95">
        <f t="shared" si="1"/>
        <v>15051.75</v>
      </c>
      <c r="J15" s="95">
        <f t="shared" si="1"/>
        <v>15051.75</v>
      </c>
      <c r="K15" s="95">
        <f t="shared" si="1"/>
        <v>15051.75</v>
      </c>
      <c r="L15" s="95">
        <f t="shared" si="1"/>
        <v>24642.83</v>
      </c>
      <c r="M15" s="95">
        <f t="shared" si="1"/>
        <v>15051.75</v>
      </c>
      <c r="N15" s="95">
        <f t="shared" si="1"/>
        <v>15051.75</v>
      </c>
      <c r="O15" s="95">
        <f>C15+D15+E15+F15+G15+H15+I15+J15+K15+L15+M15+N15</f>
        <v>178505.96</v>
      </c>
    </row>
    <row r="16" spans="2:15" ht="12"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4"/>
    </row>
    <row r="17" spans="2:25" s="102" customFormat="1" ht="12">
      <c r="B17" s="100" t="s">
        <v>18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0"/>
      <c r="Y17" s="103"/>
    </row>
    <row r="18" spans="2:25" s="102" customFormat="1" ht="12">
      <c r="B18" s="101" t="s">
        <v>13</v>
      </c>
      <c r="C18" s="101">
        <v>11016.13</v>
      </c>
      <c r="D18" s="101">
        <v>10976</v>
      </c>
      <c r="E18" s="101">
        <v>16695.7</v>
      </c>
      <c r="F18" s="101">
        <v>8526.09</v>
      </c>
      <c r="G18" s="101">
        <v>15414.22</v>
      </c>
      <c r="H18" s="101">
        <v>13068.11</v>
      </c>
      <c r="I18" s="101">
        <v>15285.38</v>
      </c>
      <c r="J18" s="101">
        <v>16902.06</v>
      </c>
      <c r="K18" s="101">
        <v>11473.95</v>
      </c>
      <c r="L18" s="101">
        <f>13378.86+375</f>
        <v>13753.86</v>
      </c>
      <c r="M18" s="101">
        <v>18891.59</v>
      </c>
      <c r="N18" s="101">
        <f>15582.5+237.85+0.06</f>
        <v>15820.41</v>
      </c>
      <c r="O18" s="101">
        <f>C18+D18+E18+F18+G18+H18+I18+J18+K18+L18+M18+N18</f>
        <v>167823.5</v>
      </c>
      <c r="Y18" s="103"/>
    </row>
    <row r="19" spans="2:25" s="102" customFormat="1" ht="12">
      <c r="B19" s="96" t="s">
        <v>212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>
        <v>7027.32</v>
      </c>
      <c r="N19" s="101">
        <f>2801.61-237.85</f>
        <v>2563.76</v>
      </c>
      <c r="O19" s="101">
        <f>C19+D19+E19+F19+G19+H19+I19+J19+K19+L19+M19+N19</f>
        <v>9591.08</v>
      </c>
      <c r="Y19" s="103"/>
    </row>
    <row r="20" spans="2:15" s="103" customFormat="1" ht="12">
      <c r="B20" s="100" t="s">
        <v>16</v>
      </c>
      <c r="C20" s="100">
        <f aca="true" t="shared" si="2" ref="C20:O20">SUM(C18:C19)</f>
        <v>11016.13</v>
      </c>
      <c r="D20" s="100">
        <f t="shared" si="2"/>
        <v>10976</v>
      </c>
      <c r="E20" s="100">
        <f t="shared" si="2"/>
        <v>16695.7</v>
      </c>
      <c r="F20" s="100">
        <f t="shared" si="2"/>
        <v>8526.09</v>
      </c>
      <c r="G20" s="100">
        <f t="shared" si="2"/>
        <v>15414.22</v>
      </c>
      <c r="H20" s="100">
        <f t="shared" si="2"/>
        <v>13068.11</v>
      </c>
      <c r="I20" s="100">
        <f t="shared" si="2"/>
        <v>15285.38</v>
      </c>
      <c r="J20" s="100">
        <f t="shared" si="2"/>
        <v>16902.06</v>
      </c>
      <c r="K20" s="100">
        <f t="shared" si="2"/>
        <v>11473.95</v>
      </c>
      <c r="L20" s="100">
        <f t="shared" si="2"/>
        <v>13753.86</v>
      </c>
      <c r="M20" s="100">
        <f t="shared" si="2"/>
        <v>25918.91</v>
      </c>
      <c r="N20" s="100">
        <f t="shared" si="2"/>
        <v>18384.17</v>
      </c>
      <c r="O20" s="100">
        <f t="shared" si="2"/>
        <v>177414.58</v>
      </c>
    </row>
    <row r="21" spans="2:15" ht="12"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4"/>
    </row>
    <row r="22" spans="2:15" ht="12">
      <c r="B22" s="94" t="s">
        <v>19</v>
      </c>
      <c r="C22" s="104">
        <f aca="true" t="shared" si="3" ref="C22:O22">C20/C15</f>
        <v>0.8408790960503727</v>
      </c>
      <c r="D22" s="104">
        <f t="shared" si="3"/>
        <v>0.8378159079684873</v>
      </c>
      <c r="E22" s="104">
        <f t="shared" si="3"/>
        <v>1.2744098992956883</v>
      </c>
      <c r="F22" s="104">
        <f t="shared" si="3"/>
        <v>0.6508102983574198</v>
      </c>
      <c r="G22" s="104">
        <f t="shared" si="3"/>
        <v>1.1765924494283906</v>
      </c>
      <c r="H22" s="104">
        <f t="shared" si="3"/>
        <v>0.9975100624163692</v>
      </c>
      <c r="I22" s="104">
        <f t="shared" si="3"/>
        <v>1.0155217831813577</v>
      </c>
      <c r="J22" s="104">
        <f t="shared" si="3"/>
        <v>1.1229298918730382</v>
      </c>
      <c r="K22" s="104">
        <f t="shared" si="3"/>
        <v>0.762300064776521</v>
      </c>
      <c r="L22" s="104">
        <f t="shared" si="3"/>
        <v>0.5581282669238882</v>
      </c>
      <c r="M22" s="104">
        <f t="shared" si="3"/>
        <v>1.7219864799774112</v>
      </c>
      <c r="N22" s="104">
        <f t="shared" si="3"/>
        <v>1.221397511917219</v>
      </c>
      <c r="O22" s="105">
        <f t="shared" si="3"/>
        <v>0.9938860304720357</v>
      </c>
    </row>
    <row r="23" spans="2:15" ht="12">
      <c r="B23" s="9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6"/>
    </row>
    <row r="24" spans="2:15" ht="12">
      <c r="B24" s="94" t="s">
        <v>20</v>
      </c>
      <c r="C24" s="107">
        <f aca="true" t="shared" si="4" ref="C24:O24">C15-C20</f>
        <v>2084.6000000000004</v>
      </c>
      <c r="D24" s="107">
        <f t="shared" si="4"/>
        <v>2124.7299999999996</v>
      </c>
      <c r="E24" s="107">
        <f t="shared" si="4"/>
        <v>-3594.970000000001</v>
      </c>
      <c r="F24" s="107">
        <f t="shared" si="4"/>
        <v>4574.639999999999</v>
      </c>
      <c r="G24" s="107">
        <f t="shared" si="4"/>
        <v>-2313.49</v>
      </c>
      <c r="H24" s="107">
        <f t="shared" si="4"/>
        <v>32.61999999999898</v>
      </c>
      <c r="I24" s="107">
        <f t="shared" si="4"/>
        <v>-233.6299999999992</v>
      </c>
      <c r="J24" s="107">
        <f t="shared" si="4"/>
        <v>-1850.3100000000013</v>
      </c>
      <c r="K24" s="107">
        <f t="shared" si="4"/>
        <v>3577.7999999999993</v>
      </c>
      <c r="L24" s="107">
        <f t="shared" si="4"/>
        <v>10888.970000000001</v>
      </c>
      <c r="M24" s="107">
        <f t="shared" si="4"/>
        <v>-10867.16</v>
      </c>
      <c r="N24" s="107">
        <f t="shared" si="4"/>
        <v>-3332.4199999999983</v>
      </c>
      <c r="O24" s="107">
        <f t="shared" si="4"/>
        <v>1091.3800000000047</v>
      </c>
    </row>
    <row r="25" spans="2:15" ht="12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4"/>
    </row>
    <row r="26" spans="2:25" s="109" customFormat="1" ht="12">
      <c r="B26" s="108" t="s">
        <v>21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108"/>
      <c r="Y26" s="110"/>
    </row>
    <row r="27" spans="2:25" s="109" customFormat="1" ht="12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108"/>
      <c r="Y27" s="110"/>
    </row>
    <row r="28" spans="2:25" s="109" customFormat="1" ht="12">
      <c r="B28" s="99" t="s">
        <v>22</v>
      </c>
      <c r="C28" s="99">
        <v>235.86</v>
      </c>
      <c r="D28" s="99">
        <f>186.05+1.6-1.1</f>
        <v>186.55</v>
      </c>
      <c r="E28" s="99">
        <v>463.54</v>
      </c>
      <c r="F28" s="99">
        <f>255.1+52.42</f>
        <v>307.52</v>
      </c>
      <c r="G28" s="99">
        <v>1688.1</v>
      </c>
      <c r="H28" s="99">
        <f>190.11+54.8</f>
        <v>244.91000000000003</v>
      </c>
      <c r="I28" s="99">
        <v>269.36</v>
      </c>
      <c r="J28" s="99">
        <v>274.94</v>
      </c>
      <c r="K28" s="99">
        <v>246.07</v>
      </c>
      <c r="L28" s="99">
        <v>342.99</v>
      </c>
      <c r="M28" s="99">
        <v>111.11</v>
      </c>
      <c r="N28" s="99">
        <v>291.76</v>
      </c>
      <c r="O28" s="99">
        <f>C28+D28+E28+F28+G28+H28+I28+J28+K28+L28+M28+N28</f>
        <v>4662.71</v>
      </c>
      <c r="Y28" s="110"/>
    </row>
    <row r="29" spans="2:25" s="109" customFormat="1" ht="12">
      <c r="B29" s="99" t="s">
        <v>185</v>
      </c>
      <c r="C29" s="99">
        <v>4611.46</v>
      </c>
      <c r="D29" s="99">
        <v>4611.46</v>
      </c>
      <c r="E29" s="99">
        <v>4611.46</v>
      </c>
      <c r="F29" s="99">
        <v>4611.46</v>
      </c>
      <c r="G29" s="99">
        <v>4611.46</v>
      </c>
      <c r="H29" s="99">
        <v>4611.46</v>
      </c>
      <c r="I29" s="99">
        <v>4611.46</v>
      </c>
      <c r="J29" s="99">
        <v>4951.73</v>
      </c>
      <c r="K29" s="99">
        <v>5043.75</v>
      </c>
      <c r="L29" s="99">
        <v>5043.75</v>
      </c>
      <c r="M29" s="99">
        <v>5043.75</v>
      </c>
      <c r="N29" s="99">
        <v>5043.75</v>
      </c>
      <c r="O29" s="99">
        <f aca="true" t="shared" si="5" ref="O29:O66">C29+D29+E29+F29+G29+H29+I29+J29+K29+L29+M29+N29</f>
        <v>57406.95</v>
      </c>
      <c r="Y29" s="110"/>
    </row>
    <row r="30" spans="2:25" s="109" customFormat="1" ht="12">
      <c r="B30" s="99" t="s">
        <v>31</v>
      </c>
      <c r="C30" s="99">
        <f>722.6+594.2</f>
        <v>1316.8000000000002</v>
      </c>
      <c r="D30" s="99">
        <f>722+1151.01</f>
        <v>1873.01</v>
      </c>
      <c r="E30" s="99">
        <f>722.6+1000+117.66</f>
        <v>1840.26</v>
      </c>
      <c r="F30" s="99">
        <f>1000+414.37</f>
        <v>1414.37</v>
      </c>
      <c r="G30" s="99">
        <f>1000+414.37</f>
        <v>1414.37</v>
      </c>
      <c r="H30" s="99">
        <f>1000+414.37</f>
        <v>1414.37</v>
      </c>
      <c r="I30" s="99">
        <v>1402.35</v>
      </c>
      <c r="J30" s="99">
        <v>1072.5</v>
      </c>
      <c r="K30" s="99">
        <v>1072.5</v>
      </c>
      <c r="L30" s="99">
        <v>1072.5</v>
      </c>
      <c r="M30" s="99">
        <v>1072.5</v>
      </c>
      <c r="N30" s="99">
        <v>1072.5</v>
      </c>
      <c r="O30" s="99">
        <f>C30+D30+E30+F30+G30+H30+I30+J30+K30+L30+M30+N30+548.01</f>
        <v>16586.04</v>
      </c>
      <c r="Y30" s="110"/>
    </row>
    <row r="31" spans="2:25" s="109" customFormat="1" ht="12">
      <c r="B31" s="99" t="s">
        <v>32</v>
      </c>
      <c r="C31" s="99">
        <v>1346.94</v>
      </c>
      <c r="D31" s="99">
        <f>2685.8</f>
        <v>2685.8</v>
      </c>
      <c r="E31" s="99">
        <f>1328.96+1356.85</f>
        <v>2685.81</v>
      </c>
      <c r="F31" s="99">
        <f>1468.51+1172.21</f>
        <v>2640.7200000000003</v>
      </c>
      <c r="G31" s="99">
        <f>1460.83+1172.21</f>
        <v>2633.04</v>
      </c>
      <c r="H31" s="99">
        <f>1315.24+1325.47</f>
        <v>2640.71</v>
      </c>
      <c r="I31" s="99">
        <v>2640.71</v>
      </c>
      <c r="J31" s="99">
        <v>1918.05</v>
      </c>
      <c r="K31" s="99">
        <f>722.66+1150.83+1489.88</f>
        <v>3363.37</v>
      </c>
      <c r="L31" s="99">
        <f>1918.05+722.66</f>
        <v>2640.71</v>
      </c>
      <c r="M31" s="99">
        <v>1544.68</v>
      </c>
      <c r="N31" s="99">
        <f>1370.04+1096.03+1270.67</f>
        <v>3736.74</v>
      </c>
      <c r="O31" s="99">
        <f>C31+D31+E31+F31+G31+H31+I31+J31+K31+L31+M31+N31</f>
        <v>30477.28</v>
      </c>
      <c r="Y31" s="110"/>
    </row>
    <row r="32" spans="2:25" s="109" customFormat="1" ht="12">
      <c r="B32" s="99" t="s">
        <v>26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>
        <f>C32+D32+E32+F32+G32+H32+I32+J32+K32+L32+M32+N32</f>
        <v>0</v>
      </c>
      <c r="Y32" s="110"/>
    </row>
    <row r="33" spans="2:25" s="109" customFormat="1" ht="12">
      <c r="B33" s="111" t="s">
        <v>33</v>
      </c>
      <c r="C33" s="99">
        <v>15.84</v>
      </c>
      <c r="D33" s="99">
        <v>15.84</v>
      </c>
      <c r="E33" s="99">
        <v>15.84</v>
      </c>
      <c r="F33" s="99">
        <v>15.84</v>
      </c>
      <c r="G33" s="99">
        <v>15.84</v>
      </c>
      <c r="H33" s="99">
        <v>15.84</v>
      </c>
      <c r="I33" s="99">
        <v>15.84</v>
      </c>
      <c r="J33" s="99">
        <v>15.84</v>
      </c>
      <c r="K33" s="99">
        <v>15.84</v>
      </c>
      <c r="L33" s="99">
        <v>15.84</v>
      </c>
      <c r="M33" s="99">
        <v>15.84</v>
      </c>
      <c r="N33" s="99">
        <v>15.84</v>
      </c>
      <c r="O33" s="99">
        <f t="shared" si="5"/>
        <v>190.08</v>
      </c>
      <c r="Y33" s="110"/>
    </row>
    <row r="34" spans="2:25" s="109" customFormat="1" ht="12">
      <c r="B34" s="99" t="s">
        <v>34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>
        <f t="shared" si="5"/>
        <v>0</v>
      </c>
      <c r="Y34" s="110"/>
    </row>
    <row r="35" spans="2:25" s="109" customFormat="1" ht="12">
      <c r="B35" s="99" t="s">
        <v>30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>
        <f t="shared" si="5"/>
        <v>0</v>
      </c>
      <c r="Y35" s="110"/>
    </row>
    <row r="36" spans="2:25" s="109" customFormat="1" ht="12">
      <c r="B36" s="99" t="s">
        <v>36</v>
      </c>
      <c r="C36" s="99">
        <v>917.7</v>
      </c>
      <c r="D36" s="99">
        <v>917.7</v>
      </c>
      <c r="E36" s="99">
        <v>917.7</v>
      </c>
      <c r="F36" s="99">
        <v>917.7</v>
      </c>
      <c r="G36" s="99">
        <v>917.7</v>
      </c>
      <c r="H36" s="99">
        <v>540.09</v>
      </c>
      <c r="I36" s="99">
        <f>1090.73+399.81</f>
        <v>1490.54</v>
      </c>
      <c r="J36" s="99">
        <f>609.71+365.8</f>
        <v>975.51</v>
      </c>
      <c r="K36" s="99">
        <f>604.51+371</f>
        <v>975.51</v>
      </c>
      <c r="L36" s="99">
        <f>659.15+316.36</f>
        <v>975.51</v>
      </c>
      <c r="M36" s="99">
        <f>639.38+336.13</f>
        <v>975.51</v>
      </c>
      <c r="N36" s="99">
        <f>680.02+295.49</f>
        <v>975.51</v>
      </c>
      <c r="O36" s="99">
        <f t="shared" si="5"/>
        <v>11496.68</v>
      </c>
      <c r="Y36" s="110"/>
    </row>
    <row r="37" spans="2:25" s="109" customFormat="1" ht="12">
      <c r="B37" s="99" t="s">
        <v>35</v>
      </c>
      <c r="C37" s="99">
        <v>209.55</v>
      </c>
      <c r="D37" s="99">
        <v>209.55</v>
      </c>
      <c r="E37" s="99">
        <v>209.55</v>
      </c>
      <c r="F37" s="99">
        <v>209.55</v>
      </c>
      <c r="G37" s="99">
        <v>209.55</v>
      </c>
      <c r="H37" s="99">
        <v>209.55</v>
      </c>
      <c r="I37" s="99">
        <v>252.91</v>
      </c>
      <c r="J37" s="99">
        <v>252.91</v>
      </c>
      <c r="K37" s="99">
        <v>252.91</v>
      </c>
      <c r="L37" s="99">
        <v>252.91</v>
      </c>
      <c r="M37" s="99">
        <v>252.91</v>
      </c>
      <c r="N37" s="99">
        <v>252.91</v>
      </c>
      <c r="O37" s="99">
        <f t="shared" si="5"/>
        <v>2774.7599999999998</v>
      </c>
      <c r="Y37" s="110"/>
    </row>
    <row r="38" spans="2:25" s="109" customFormat="1" ht="12">
      <c r="B38" s="99" t="s">
        <v>29</v>
      </c>
      <c r="C38" s="99">
        <v>97.67</v>
      </c>
      <c r="D38" s="99">
        <v>282.98</v>
      </c>
      <c r="E38" s="99">
        <v>83.29</v>
      </c>
      <c r="F38" s="99">
        <v>165.21</v>
      </c>
      <c r="G38" s="99"/>
      <c r="H38" s="99">
        <v>100.59</v>
      </c>
      <c r="I38" s="99">
        <v>100.59</v>
      </c>
      <c r="J38" s="99">
        <v>169.33</v>
      </c>
      <c r="K38" s="99">
        <v>159.41</v>
      </c>
      <c r="L38" s="99">
        <v>178.82</v>
      </c>
      <c r="M38" s="99">
        <v>178.82</v>
      </c>
      <c r="N38" s="99">
        <v>101.91</v>
      </c>
      <c r="O38" s="99">
        <f t="shared" si="5"/>
        <v>1618.6200000000001</v>
      </c>
      <c r="Y38" s="110"/>
    </row>
    <row r="39" spans="2:25" s="109" customFormat="1" ht="12">
      <c r="B39" s="99" t="s">
        <v>39</v>
      </c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>
        <f t="shared" si="5"/>
        <v>0</v>
      </c>
      <c r="Y39" s="110"/>
    </row>
    <row r="40" spans="2:25" s="109" customFormat="1" ht="12">
      <c r="B40" s="99" t="s">
        <v>40</v>
      </c>
      <c r="C40" s="99"/>
      <c r="D40" s="99"/>
      <c r="E40" s="99"/>
      <c r="F40" s="99"/>
      <c r="G40" s="99"/>
      <c r="H40" s="99">
        <v>319.91</v>
      </c>
      <c r="I40" s="99">
        <v>319.91</v>
      </c>
      <c r="J40" s="99">
        <v>319.91</v>
      </c>
      <c r="K40" s="99"/>
      <c r="L40" s="99"/>
      <c r="M40" s="99"/>
      <c r="N40" s="99"/>
      <c r="O40" s="99">
        <f t="shared" si="5"/>
        <v>959.73</v>
      </c>
      <c r="Y40" s="110"/>
    </row>
    <row r="41" spans="2:25" s="109" customFormat="1" ht="12">
      <c r="B41" s="99" t="s">
        <v>41</v>
      </c>
      <c r="C41" s="99"/>
      <c r="D41" s="99"/>
      <c r="E41" s="99"/>
      <c r="F41" s="99"/>
      <c r="G41" s="99">
        <v>5419.5</v>
      </c>
      <c r="H41" s="99">
        <v>30</v>
      </c>
      <c r="I41" s="99"/>
      <c r="J41" s="99"/>
      <c r="K41" s="99"/>
      <c r="L41" s="99"/>
      <c r="M41" s="99"/>
      <c r="N41" s="99"/>
      <c r="O41" s="99">
        <f t="shared" si="5"/>
        <v>5449.5</v>
      </c>
      <c r="Y41" s="110"/>
    </row>
    <row r="42" spans="2:25" s="109" customFormat="1" ht="12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Y42" s="110"/>
    </row>
    <row r="43" spans="2:25" s="109" customFormat="1" ht="12">
      <c r="B43" s="108" t="s">
        <v>42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Y43" s="110"/>
    </row>
    <row r="44" spans="2:25" s="109" customFormat="1" ht="12">
      <c r="B44" s="99" t="s">
        <v>45</v>
      </c>
      <c r="C44" s="99">
        <v>69.61</v>
      </c>
      <c r="D44" s="99">
        <v>69.61</v>
      </c>
      <c r="E44" s="99">
        <v>69.61</v>
      </c>
      <c r="F44" s="99">
        <v>69.61</v>
      </c>
      <c r="G44" s="99">
        <v>69.61</v>
      </c>
      <c r="H44" s="99">
        <v>69.61</v>
      </c>
      <c r="I44" s="99">
        <v>69.61</v>
      </c>
      <c r="J44" s="99">
        <v>69.61</v>
      </c>
      <c r="K44" s="99">
        <v>69.61</v>
      </c>
      <c r="L44" s="99">
        <v>69.61</v>
      </c>
      <c r="M44" s="99">
        <v>69.61</v>
      </c>
      <c r="N44" s="99">
        <v>69.61</v>
      </c>
      <c r="O44" s="99">
        <f t="shared" si="5"/>
        <v>835.32</v>
      </c>
      <c r="Y44" s="110"/>
    </row>
    <row r="45" spans="2:25" s="109" customFormat="1" ht="12">
      <c r="B45" s="99" t="s">
        <v>126</v>
      </c>
      <c r="C45" s="99">
        <v>239.25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>
        <f t="shared" si="5"/>
        <v>239.25</v>
      </c>
      <c r="Y45" s="110"/>
    </row>
    <row r="46" spans="2:25" s="109" customFormat="1" ht="12">
      <c r="B46" s="99" t="s">
        <v>69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>
        <f t="shared" si="5"/>
        <v>0</v>
      </c>
      <c r="Y46" s="110"/>
    </row>
    <row r="47" spans="2:25" s="109" customFormat="1" ht="12">
      <c r="B47" s="99" t="s">
        <v>47</v>
      </c>
      <c r="C47" s="99"/>
      <c r="D47" s="99">
        <v>117.65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>
        <f t="shared" si="5"/>
        <v>117.65</v>
      </c>
      <c r="Y47" s="110"/>
    </row>
    <row r="48" spans="2:25" s="109" customFormat="1" ht="12">
      <c r="B48" s="111" t="s">
        <v>48</v>
      </c>
      <c r="C48" s="99"/>
      <c r="D48" s="99"/>
      <c r="E48" s="99">
        <v>17.65</v>
      </c>
      <c r="F48" s="99"/>
      <c r="G48" s="99"/>
      <c r="H48" s="99"/>
      <c r="I48" s="99"/>
      <c r="J48" s="99"/>
      <c r="K48" s="99"/>
      <c r="L48" s="99"/>
      <c r="M48" s="99"/>
      <c r="N48" s="99"/>
      <c r="O48" s="99">
        <f t="shared" si="5"/>
        <v>17.65</v>
      </c>
      <c r="Y48" s="110"/>
    </row>
    <row r="49" spans="2:25" s="109" customFormat="1" ht="12">
      <c r="B49" s="99" t="s">
        <v>50</v>
      </c>
      <c r="C49" s="99"/>
      <c r="D49" s="99"/>
      <c r="E49" s="112">
        <v>126.47</v>
      </c>
      <c r="F49" s="99"/>
      <c r="G49" s="99">
        <v>765</v>
      </c>
      <c r="H49" s="99">
        <v>420</v>
      </c>
      <c r="I49" s="99"/>
      <c r="J49" s="99"/>
      <c r="K49" s="99"/>
      <c r="L49" s="99">
        <v>1174</v>
      </c>
      <c r="M49" s="99"/>
      <c r="N49" s="99"/>
      <c r="O49" s="99">
        <f t="shared" si="5"/>
        <v>2485.4700000000003</v>
      </c>
      <c r="Y49" s="110"/>
    </row>
    <row r="50" spans="2:25" s="109" customFormat="1" ht="12">
      <c r="B50" s="99" t="s">
        <v>77</v>
      </c>
      <c r="C50" s="99">
        <v>16668.96</v>
      </c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>
        <f t="shared" si="5"/>
        <v>16668.96</v>
      </c>
      <c r="Y50" s="110"/>
    </row>
    <row r="51" spans="2:25" s="109" customFormat="1" ht="12">
      <c r="B51" s="99" t="s">
        <v>46</v>
      </c>
      <c r="C51" s="99"/>
      <c r="D51" s="99">
        <f>244.61+58.82</f>
        <v>303.43</v>
      </c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>
        <f t="shared" si="5"/>
        <v>303.43</v>
      </c>
      <c r="Y51" s="110"/>
    </row>
    <row r="52" spans="2:25" s="109" customFormat="1" ht="12">
      <c r="B52" s="99" t="s">
        <v>215</v>
      </c>
      <c r="C52" s="99"/>
      <c r="D52" s="99"/>
      <c r="E52" s="99"/>
      <c r="F52" s="99">
        <v>2000</v>
      </c>
      <c r="G52" s="99"/>
      <c r="H52" s="99"/>
      <c r="I52" s="99"/>
      <c r="J52" s="99"/>
      <c r="K52" s="99"/>
      <c r="L52" s="99"/>
      <c r="M52" s="99"/>
      <c r="N52" s="99"/>
      <c r="O52" s="99">
        <f t="shared" si="5"/>
        <v>2000</v>
      </c>
      <c r="Y52" s="110"/>
    </row>
    <row r="53" spans="2:25" s="109" customFormat="1" ht="12">
      <c r="B53" s="99" t="s">
        <v>51</v>
      </c>
      <c r="C53" s="99"/>
      <c r="D53" s="99"/>
      <c r="E53" s="99"/>
      <c r="F53" s="99"/>
      <c r="G53" s="99">
        <v>405.71</v>
      </c>
      <c r="H53" s="99">
        <f>116.92+58.46</f>
        <v>175.38</v>
      </c>
      <c r="I53" s="99">
        <v>48.63</v>
      </c>
      <c r="J53" s="99">
        <v>80.77</v>
      </c>
      <c r="K53" s="99"/>
      <c r="L53" s="99"/>
      <c r="M53" s="99"/>
      <c r="N53" s="99"/>
      <c r="O53" s="99">
        <f t="shared" si="5"/>
        <v>710.4899999999999</v>
      </c>
      <c r="Y53" s="110"/>
    </row>
    <row r="54" spans="2:25" s="109" customFormat="1" ht="12">
      <c r="B54" s="111" t="s">
        <v>216</v>
      </c>
      <c r="C54" s="99"/>
      <c r="D54" s="99"/>
      <c r="E54" s="99"/>
      <c r="F54" s="99"/>
      <c r="G54" s="99"/>
      <c r="H54" s="99">
        <v>12600</v>
      </c>
      <c r="I54" s="99"/>
      <c r="J54" s="99"/>
      <c r="K54" s="99"/>
      <c r="L54" s="99"/>
      <c r="M54" s="99"/>
      <c r="N54" s="99"/>
      <c r="O54" s="99">
        <f t="shared" si="5"/>
        <v>12600</v>
      </c>
      <c r="Y54" s="110"/>
    </row>
    <row r="55" spans="2:25" s="109" customFormat="1" ht="12">
      <c r="B55" s="99" t="s">
        <v>130</v>
      </c>
      <c r="C55" s="99"/>
      <c r="D55" s="99"/>
      <c r="E55" s="99"/>
      <c r="F55" s="99"/>
      <c r="G55" s="99"/>
      <c r="H55" s="99"/>
      <c r="I55" s="99">
        <v>161.76</v>
      </c>
      <c r="J55" s="99"/>
      <c r="K55" s="99"/>
      <c r="L55" s="99"/>
      <c r="M55" s="99"/>
      <c r="N55" s="99"/>
      <c r="O55" s="99">
        <f t="shared" si="5"/>
        <v>161.76</v>
      </c>
      <c r="Y55" s="110"/>
    </row>
    <row r="56" spans="2:25" s="109" customFormat="1" ht="12">
      <c r="B56" s="111" t="s">
        <v>139</v>
      </c>
      <c r="C56" s="99"/>
      <c r="D56" s="99"/>
      <c r="E56" s="99"/>
      <c r="F56" s="99"/>
      <c r="G56" s="99"/>
      <c r="H56" s="99"/>
      <c r="I56" s="99"/>
      <c r="J56" s="99">
        <v>12.33</v>
      </c>
      <c r="K56" s="99"/>
      <c r="L56" s="99"/>
      <c r="M56" s="99"/>
      <c r="N56" s="99"/>
      <c r="O56" s="99">
        <f t="shared" si="5"/>
        <v>12.33</v>
      </c>
      <c r="Y56" s="110"/>
    </row>
    <row r="57" spans="2:25" s="109" customFormat="1" ht="12">
      <c r="B57" s="99" t="s">
        <v>207</v>
      </c>
      <c r="C57" s="99"/>
      <c r="D57" s="99"/>
      <c r="E57" s="99"/>
      <c r="F57" s="99"/>
      <c r="G57" s="99"/>
      <c r="H57" s="99"/>
      <c r="I57" s="99"/>
      <c r="J57" s="99">
        <v>82.2</v>
      </c>
      <c r="K57" s="99"/>
      <c r="L57" s="99">
        <v>91.73</v>
      </c>
      <c r="M57" s="99">
        <v>91.73</v>
      </c>
      <c r="N57" s="99">
        <v>122.31</v>
      </c>
      <c r="O57" s="99">
        <f t="shared" si="5"/>
        <v>387.97</v>
      </c>
      <c r="Y57" s="110"/>
    </row>
    <row r="58" spans="2:25" s="109" customFormat="1" ht="12">
      <c r="B58" s="99" t="s">
        <v>156</v>
      </c>
      <c r="C58" s="99"/>
      <c r="D58" s="99"/>
      <c r="E58" s="99"/>
      <c r="F58" s="99"/>
      <c r="G58" s="99"/>
      <c r="H58" s="99"/>
      <c r="I58" s="99"/>
      <c r="J58" s="99">
        <v>10.69</v>
      </c>
      <c r="K58" s="99"/>
      <c r="L58" s="99"/>
      <c r="M58" s="99"/>
      <c r="N58" s="99"/>
      <c r="O58" s="99">
        <f t="shared" si="5"/>
        <v>10.69</v>
      </c>
      <c r="Y58" s="110"/>
    </row>
    <row r="59" spans="2:25" s="109" customFormat="1" ht="12">
      <c r="B59" s="99" t="s">
        <v>157</v>
      </c>
      <c r="C59" s="99"/>
      <c r="D59" s="99"/>
      <c r="E59" s="99"/>
      <c r="F59" s="99"/>
      <c r="G59" s="99"/>
      <c r="H59" s="99"/>
      <c r="I59" s="99"/>
      <c r="J59" s="99"/>
      <c r="K59" s="99">
        <v>160.75</v>
      </c>
      <c r="L59" s="99"/>
      <c r="M59" s="99"/>
      <c r="N59" s="99"/>
      <c r="O59" s="99">
        <f t="shared" si="5"/>
        <v>160.75</v>
      </c>
      <c r="Y59" s="110"/>
    </row>
    <row r="60" spans="2:25" s="109" customFormat="1" ht="12">
      <c r="B60" s="99" t="s">
        <v>158</v>
      </c>
      <c r="C60" s="99"/>
      <c r="D60" s="99"/>
      <c r="E60" s="99"/>
      <c r="F60" s="99"/>
      <c r="G60" s="99"/>
      <c r="H60" s="99"/>
      <c r="I60" s="99"/>
      <c r="J60" s="99"/>
      <c r="K60" s="99">
        <v>4859.7</v>
      </c>
      <c r="L60" s="99"/>
      <c r="M60" s="99"/>
      <c r="N60" s="99"/>
      <c r="O60" s="99">
        <f t="shared" si="5"/>
        <v>4859.7</v>
      </c>
      <c r="Y60" s="110"/>
    </row>
    <row r="61" spans="2:25" s="109" customFormat="1" ht="12">
      <c r="B61" s="99" t="s">
        <v>217</v>
      </c>
      <c r="C61" s="99"/>
      <c r="D61" s="99"/>
      <c r="E61" s="99"/>
      <c r="F61" s="99"/>
      <c r="G61" s="99"/>
      <c r="H61" s="99"/>
      <c r="I61" s="99"/>
      <c r="J61" s="99"/>
      <c r="K61" s="99">
        <v>17.5</v>
      </c>
      <c r="L61" s="99"/>
      <c r="M61" s="99"/>
      <c r="N61" s="99"/>
      <c r="O61" s="99">
        <f t="shared" si="5"/>
        <v>17.5</v>
      </c>
      <c r="Y61" s="110"/>
    </row>
    <row r="62" spans="2:25" s="109" customFormat="1" ht="12">
      <c r="B62" s="99" t="s">
        <v>214</v>
      </c>
      <c r="C62" s="99"/>
      <c r="D62" s="99"/>
      <c r="E62" s="99"/>
      <c r="F62" s="99"/>
      <c r="G62" s="99"/>
      <c r="H62" s="99"/>
      <c r="I62" s="99"/>
      <c r="J62" s="99"/>
      <c r="K62" s="99">
        <v>2000</v>
      </c>
      <c r="L62" s="99"/>
      <c r="M62" s="99"/>
      <c r="N62" s="99"/>
      <c r="O62" s="99">
        <f t="shared" si="5"/>
        <v>2000</v>
      </c>
      <c r="Y62" s="110"/>
    </row>
    <row r="63" spans="2:25" s="109" customFormat="1" ht="12">
      <c r="B63" s="99" t="s">
        <v>213</v>
      </c>
      <c r="C63" s="99"/>
      <c r="D63" s="99"/>
      <c r="E63" s="99"/>
      <c r="F63" s="99"/>
      <c r="G63" s="99"/>
      <c r="H63" s="99"/>
      <c r="I63" s="99"/>
      <c r="J63" s="99"/>
      <c r="K63" s="99"/>
      <c r="L63" s="99">
        <v>375</v>
      </c>
      <c r="M63" s="99"/>
      <c r="N63" s="99"/>
      <c r="O63" s="99">
        <f t="shared" si="5"/>
        <v>375</v>
      </c>
      <c r="Y63" s="110"/>
    </row>
    <row r="64" spans="2:25" s="109" customFormat="1" ht="12">
      <c r="B64" s="99" t="s">
        <v>189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>
        <v>113.13</v>
      </c>
      <c r="N64" s="99"/>
      <c r="O64" s="99">
        <f t="shared" si="5"/>
        <v>113.13</v>
      </c>
      <c r="Y64" s="110"/>
    </row>
    <row r="65" spans="2:25" s="109" customFormat="1" ht="12">
      <c r="B65" s="99" t="s">
        <v>191</v>
      </c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>
        <v>10.31</v>
      </c>
      <c r="N65" s="99"/>
      <c r="O65" s="99">
        <f t="shared" si="5"/>
        <v>10.31</v>
      </c>
      <c r="Y65" s="110"/>
    </row>
    <row r="66" spans="2:25" s="109" customFormat="1" ht="12">
      <c r="B66" s="99" t="s">
        <v>165</v>
      </c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>
        <v>27.4</v>
      </c>
      <c r="O66" s="99">
        <f t="shared" si="5"/>
        <v>27.4</v>
      </c>
      <c r="Y66" s="110"/>
    </row>
    <row r="67" spans="2:25" s="109" customFormat="1" ht="12">
      <c r="B67" s="108" t="s">
        <v>16</v>
      </c>
      <c r="C67" s="108">
        <f aca="true" t="shared" si="6" ref="C67:O67">SUM(C28:C66)</f>
        <v>25729.64</v>
      </c>
      <c r="D67" s="108">
        <f t="shared" si="6"/>
        <v>11273.58</v>
      </c>
      <c r="E67" s="108">
        <f t="shared" si="6"/>
        <v>11041.18</v>
      </c>
      <c r="F67" s="108">
        <f t="shared" si="6"/>
        <v>12351.98</v>
      </c>
      <c r="G67" s="108">
        <f t="shared" si="6"/>
        <v>18149.879999999997</v>
      </c>
      <c r="H67" s="108">
        <f t="shared" si="6"/>
        <v>23392.42</v>
      </c>
      <c r="I67" s="108">
        <f t="shared" si="6"/>
        <v>11383.670000000002</v>
      </c>
      <c r="J67" s="108">
        <f t="shared" si="6"/>
        <v>10206.320000000002</v>
      </c>
      <c r="K67" s="108">
        <f t="shared" si="6"/>
        <v>18236.92</v>
      </c>
      <c r="L67" s="108">
        <f t="shared" si="6"/>
        <v>12233.37</v>
      </c>
      <c r="M67" s="108">
        <f t="shared" si="6"/>
        <v>9479.899999999998</v>
      </c>
      <c r="N67" s="108">
        <f t="shared" si="6"/>
        <v>11710.24</v>
      </c>
      <c r="O67" s="108">
        <f t="shared" si="6"/>
        <v>175737.10999999996</v>
      </c>
      <c r="Y67" s="110"/>
    </row>
    <row r="69" spans="2:15" ht="12">
      <c r="B69" s="152" t="s">
        <v>149</v>
      </c>
      <c r="C69" s="153">
        <f aca="true" t="shared" si="7" ref="C69:O69">C10+C20-C67</f>
        <v>-1597.0599999999977</v>
      </c>
      <c r="D69" s="153">
        <f t="shared" si="7"/>
        <v>-1894.6399999999976</v>
      </c>
      <c r="E69" s="153">
        <f t="shared" si="7"/>
        <v>3759.880000000003</v>
      </c>
      <c r="F69" s="153">
        <f t="shared" si="7"/>
        <v>-66.00999999999658</v>
      </c>
      <c r="G69" s="153">
        <f t="shared" si="7"/>
        <v>-2801.6699999999946</v>
      </c>
      <c r="H69" s="153">
        <f t="shared" si="7"/>
        <v>-13125.979999999992</v>
      </c>
      <c r="I69" s="153">
        <f t="shared" si="7"/>
        <v>-9224.269999999995</v>
      </c>
      <c r="J69" s="153">
        <f t="shared" si="7"/>
        <v>-2528.529999999995</v>
      </c>
      <c r="K69" s="153">
        <f t="shared" si="7"/>
        <v>-9291.499999999993</v>
      </c>
      <c r="L69" s="153">
        <f t="shared" si="7"/>
        <v>-7771.009999999993</v>
      </c>
      <c r="M69" s="153">
        <f t="shared" si="7"/>
        <v>8668.000000000011</v>
      </c>
      <c r="N69" s="159">
        <f t="shared" si="7"/>
        <v>15341.93000000001</v>
      </c>
      <c r="O69" s="154">
        <f t="shared" si="7"/>
        <v>14793.920000000042</v>
      </c>
    </row>
    <row r="70" spans="2:15" s="87" customFormat="1" ht="12"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</row>
    <row r="71" ht="12">
      <c r="B71" s="86" t="s">
        <v>24</v>
      </c>
    </row>
    <row r="72" ht="12">
      <c r="B72" s="86" t="s">
        <v>25</v>
      </c>
    </row>
  </sheetData>
  <sheetProtection/>
  <mergeCells count="4">
    <mergeCell ref="B1:O1"/>
    <mergeCell ref="B2:O2"/>
    <mergeCell ref="B3:O3"/>
    <mergeCell ref="B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Y77"/>
  <sheetViews>
    <sheetView zoomScalePageLayoutView="0" workbookViewId="0" topLeftCell="A1">
      <pane xSplit="2" ySplit="5" topLeftCell="C5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O2"/>
    </sheetView>
  </sheetViews>
  <sheetFormatPr defaultColWidth="26.75390625" defaultRowHeight="12.75"/>
  <cols>
    <col min="1" max="1" width="16.00390625" style="39" customWidth="1"/>
    <col min="2" max="2" width="44.25390625" style="39" customWidth="1"/>
    <col min="3" max="3" width="8.625" style="39" hidden="1" customWidth="1"/>
    <col min="4" max="5" width="9.375" style="39" hidden="1" customWidth="1"/>
    <col min="6" max="6" width="10.25390625" style="39" hidden="1" customWidth="1"/>
    <col min="7" max="7" width="9.125" style="39" hidden="1" customWidth="1"/>
    <col min="8" max="8" width="9.00390625" style="39" hidden="1" customWidth="1"/>
    <col min="9" max="9" width="8.875" style="39" hidden="1" customWidth="1"/>
    <col min="10" max="10" width="9.25390625" style="39" hidden="1" customWidth="1"/>
    <col min="11" max="11" width="11.25390625" style="39" hidden="1" customWidth="1"/>
    <col min="12" max="12" width="9.75390625" style="39" hidden="1" customWidth="1"/>
    <col min="13" max="13" width="8.75390625" style="39" hidden="1" customWidth="1"/>
    <col min="14" max="14" width="9.25390625" style="39" hidden="1" customWidth="1"/>
    <col min="15" max="15" width="9.25390625" style="40" customWidth="1"/>
    <col min="16" max="16" width="7.625" style="39" customWidth="1"/>
    <col min="17" max="24" width="26.75390625" style="39" customWidth="1"/>
    <col min="25" max="25" width="26.75390625" style="40" customWidth="1"/>
    <col min="26" max="16384" width="26.75390625" style="39" customWidth="1"/>
  </cols>
  <sheetData>
    <row r="1" spans="2:16" ht="12.75">
      <c r="B1" s="196" t="s">
        <v>151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38"/>
    </row>
    <row r="2" spans="2:16" ht="12.75">
      <c r="B2" s="196" t="s">
        <v>152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38"/>
    </row>
    <row r="3" spans="2:15" ht="12.75">
      <c r="B3" s="203" t="s">
        <v>174</v>
      </c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spans="2:15" ht="12.75">
      <c r="B4" s="81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67"/>
    </row>
    <row r="5" spans="2:15" ht="25.5">
      <c r="B5" s="80" t="s">
        <v>99</v>
      </c>
      <c r="C5" s="83" t="s">
        <v>0</v>
      </c>
      <c r="D5" s="83" t="s">
        <v>1</v>
      </c>
      <c r="E5" s="83" t="s">
        <v>2</v>
      </c>
      <c r="F5" s="83" t="s">
        <v>3</v>
      </c>
      <c r="G5" s="83" t="s">
        <v>4</v>
      </c>
      <c r="H5" s="83" t="s">
        <v>5</v>
      </c>
      <c r="I5" s="83" t="s">
        <v>6</v>
      </c>
      <c r="J5" s="83" t="s">
        <v>7</v>
      </c>
      <c r="K5" s="83" t="s">
        <v>8</v>
      </c>
      <c r="L5" s="83" t="s">
        <v>9</v>
      </c>
      <c r="M5" s="83" t="s">
        <v>10</v>
      </c>
      <c r="N5" s="83" t="s">
        <v>11</v>
      </c>
      <c r="O5" s="69" t="s">
        <v>150</v>
      </c>
    </row>
    <row r="6" spans="2:15" ht="12.75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2"/>
    </row>
    <row r="7" spans="2:15" ht="12.75">
      <c r="B7" s="42" t="s">
        <v>43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2"/>
    </row>
    <row r="8" spans="2:15" ht="12.75">
      <c r="B8" s="41" t="s">
        <v>13</v>
      </c>
      <c r="C8" s="41">
        <v>-67241.28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>
        <f>C8+D8+E8+F8+G8+H8+I8+J8+K8+L8+M8+N8</f>
        <v>-67241.28</v>
      </c>
    </row>
    <row r="9" spans="2:15" ht="12.75">
      <c r="B9" s="41" t="s">
        <v>14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>
        <f>C9+D9+E9+F9+G9+H9+I9+J9+K9+L9+M9+N9</f>
        <v>0</v>
      </c>
    </row>
    <row r="10" spans="2:15" s="40" customFormat="1" ht="12.75">
      <c r="B10" s="42" t="s">
        <v>16</v>
      </c>
      <c r="C10" s="42" t="e">
        <f>C8+C9+#REF!</f>
        <v>#REF!</v>
      </c>
      <c r="D10" s="42" t="e">
        <f aca="true" t="shared" si="0" ref="D10:I10">C72</f>
        <v>#REF!</v>
      </c>
      <c r="E10" s="42" t="e">
        <f t="shared" si="0"/>
        <v>#REF!</v>
      </c>
      <c r="F10" s="42" t="e">
        <f t="shared" si="0"/>
        <v>#REF!</v>
      </c>
      <c r="G10" s="42" t="e">
        <f t="shared" si="0"/>
        <v>#REF!</v>
      </c>
      <c r="H10" s="42" t="e">
        <f t="shared" si="0"/>
        <v>#REF!</v>
      </c>
      <c r="I10" s="42" t="e">
        <f t="shared" si="0"/>
        <v>#REF!</v>
      </c>
      <c r="J10" s="42" t="e">
        <f>I72</f>
        <v>#REF!</v>
      </c>
      <c r="K10" s="42" t="e">
        <f>J72</f>
        <v>#REF!</v>
      </c>
      <c r="L10" s="42" t="e">
        <f>K72</f>
        <v>#REF!</v>
      </c>
      <c r="M10" s="42" t="e">
        <f>L72</f>
        <v>#REF!</v>
      </c>
      <c r="N10" s="42" t="e">
        <f>M72</f>
        <v>#REF!</v>
      </c>
      <c r="O10" s="42">
        <f>O8+O9</f>
        <v>-67241.28</v>
      </c>
    </row>
    <row r="11" spans="2:15" ht="12.75"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2"/>
    </row>
    <row r="12" spans="2:25" s="45" customFormat="1" ht="12.75">
      <c r="B12" s="43" t="s">
        <v>17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3"/>
      <c r="Y12" s="46"/>
    </row>
    <row r="13" spans="2:25" s="45" customFormat="1" ht="12.75">
      <c r="B13" s="44" t="s">
        <v>13</v>
      </c>
      <c r="C13" s="44">
        <v>32903.74</v>
      </c>
      <c r="D13" s="44">
        <v>32903.74</v>
      </c>
      <c r="E13" s="44">
        <v>32903.74</v>
      </c>
      <c r="F13" s="44">
        <v>32903.74</v>
      </c>
      <c r="G13" s="44">
        <v>32903.74</v>
      </c>
      <c r="H13" s="44">
        <v>32903.74</v>
      </c>
      <c r="I13" s="44">
        <v>34545.22</v>
      </c>
      <c r="J13" s="44">
        <v>34545.22</v>
      </c>
      <c r="K13" s="44">
        <v>34545.22</v>
      </c>
      <c r="L13" s="44">
        <v>34545.22</v>
      </c>
      <c r="M13" s="44">
        <v>34545.22</v>
      </c>
      <c r="N13" s="44">
        <v>34545.22</v>
      </c>
      <c r="O13" s="44">
        <f>C13+D13+E13+F13+G13+H13+I13+J13+K13+L13+M13+N13</f>
        <v>404693.7599999999</v>
      </c>
      <c r="Y13" s="46"/>
    </row>
    <row r="14" spans="2:25" s="45" customFormat="1" ht="12.75">
      <c r="B14" s="44" t="s">
        <v>14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>
        <f>C14+D14+E14+F14+G14+H14+I14+J14+K14+L14+M14+N14</f>
        <v>0</v>
      </c>
      <c r="Y14" s="46"/>
    </row>
    <row r="15" spans="2:25" s="45" customFormat="1" ht="12.75">
      <c r="B15" s="44" t="s">
        <v>171</v>
      </c>
      <c r="C15" s="44"/>
      <c r="D15" s="44"/>
      <c r="E15" s="44"/>
      <c r="F15" s="44"/>
      <c r="G15" s="44"/>
      <c r="H15" s="44"/>
      <c r="I15" s="44"/>
      <c r="J15" s="44"/>
      <c r="K15" s="44"/>
      <c r="L15" s="44">
        <v>10142.49</v>
      </c>
      <c r="M15" s="44"/>
      <c r="N15" s="44"/>
      <c r="O15" s="44">
        <f>C15+D15+E15+F15+G15+H15+I15+J15+K15+L15+M15+N15</f>
        <v>10142.49</v>
      </c>
      <c r="Y15" s="46"/>
    </row>
    <row r="16" spans="2:15" s="46" customFormat="1" ht="12.75">
      <c r="B16" s="43" t="s">
        <v>16</v>
      </c>
      <c r="C16" s="43">
        <f aca="true" t="shared" si="1" ref="C16:N16">SUM(C11:C15)</f>
        <v>32903.74</v>
      </c>
      <c r="D16" s="43">
        <f t="shared" si="1"/>
        <v>32903.74</v>
      </c>
      <c r="E16" s="43">
        <f t="shared" si="1"/>
        <v>32903.74</v>
      </c>
      <c r="F16" s="43">
        <f t="shared" si="1"/>
        <v>32903.74</v>
      </c>
      <c r="G16" s="43">
        <f t="shared" si="1"/>
        <v>32903.74</v>
      </c>
      <c r="H16" s="43">
        <f t="shared" si="1"/>
        <v>32903.74</v>
      </c>
      <c r="I16" s="43">
        <f t="shared" si="1"/>
        <v>34545.22</v>
      </c>
      <c r="J16" s="43">
        <f t="shared" si="1"/>
        <v>34545.22</v>
      </c>
      <c r="K16" s="43">
        <f t="shared" si="1"/>
        <v>34545.22</v>
      </c>
      <c r="L16" s="43">
        <f t="shared" si="1"/>
        <v>44687.71</v>
      </c>
      <c r="M16" s="43">
        <f t="shared" si="1"/>
        <v>34545.22</v>
      </c>
      <c r="N16" s="43">
        <f t="shared" si="1"/>
        <v>34545.22</v>
      </c>
      <c r="O16" s="43">
        <f>C16+D16+E16+F16+G16+H16+I16+J16+K16+L16+M16+N16</f>
        <v>414836.25</v>
      </c>
    </row>
    <row r="17" spans="2:15" ht="12.75"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/>
    </row>
    <row r="18" spans="2:25" s="49" customFormat="1" ht="12.75">
      <c r="B18" s="47" t="s">
        <v>18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7"/>
      <c r="Y18" s="50"/>
    </row>
    <row r="19" spans="2:25" s="49" customFormat="1" ht="12.75">
      <c r="B19" s="48" t="s">
        <v>13</v>
      </c>
      <c r="C19" s="48">
        <v>28567.35</v>
      </c>
      <c r="D19" s="48">
        <v>23460.71</v>
      </c>
      <c r="E19" s="48">
        <v>36617.65</v>
      </c>
      <c r="F19" s="48">
        <v>26999.25</v>
      </c>
      <c r="G19" s="48">
        <v>36658.7</v>
      </c>
      <c r="H19" s="48">
        <v>29405.33</v>
      </c>
      <c r="I19" s="48">
        <v>39338.83</v>
      </c>
      <c r="J19" s="48">
        <v>25722.94</v>
      </c>
      <c r="K19" s="48">
        <v>41498.35</v>
      </c>
      <c r="L19" s="48">
        <v>33302.27</v>
      </c>
      <c r="M19" s="48">
        <v>31929.74</v>
      </c>
      <c r="N19" s="48">
        <v>33798.25</v>
      </c>
      <c r="O19" s="48">
        <f>C19+D19+E19+F19+G19+H19+I19+J19+K19+L19+M19+N19</f>
        <v>387299.37</v>
      </c>
      <c r="Y19" s="50"/>
    </row>
    <row r="20" spans="2:25" s="49" customFormat="1" ht="12.75">
      <c r="B20" s="48" t="s">
        <v>14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>
        <f>C20+D20+E20+F20+G20+H20+I20+J20+K20+L20+M20+N20</f>
        <v>0</v>
      </c>
      <c r="Y20" s="50"/>
    </row>
    <row r="21" spans="2:25" s="49" customFormat="1" ht="12.75">
      <c r="B21" s="44" t="s">
        <v>171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>
        <v>5692.03</v>
      </c>
      <c r="N21" s="48">
        <v>3212.09</v>
      </c>
      <c r="O21" s="48">
        <f>C21+D21+E21+F21+G21+H21+I21+J21+K21+L21+M21+N21</f>
        <v>8904.119999999999</v>
      </c>
      <c r="Y21" s="50"/>
    </row>
    <row r="22" spans="2:15" s="50" customFormat="1" ht="12.75">
      <c r="B22" s="47" t="s">
        <v>16</v>
      </c>
      <c r="C22" s="47">
        <f aca="true" t="shared" si="2" ref="C22:O22">SUM(C19:C21)</f>
        <v>28567.35</v>
      </c>
      <c r="D22" s="47">
        <f t="shared" si="2"/>
        <v>23460.71</v>
      </c>
      <c r="E22" s="47">
        <f t="shared" si="2"/>
        <v>36617.65</v>
      </c>
      <c r="F22" s="47">
        <f t="shared" si="2"/>
        <v>26999.25</v>
      </c>
      <c r="G22" s="47">
        <f t="shared" si="2"/>
        <v>36658.7</v>
      </c>
      <c r="H22" s="47">
        <f t="shared" si="2"/>
        <v>29405.33</v>
      </c>
      <c r="I22" s="47">
        <f t="shared" si="2"/>
        <v>39338.83</v>
      </c>
      <c r="J22" s="47">
        <f t="shared" si="2"/>
        <v>25722.94</v>
      </c>
      <c r="K22" s="47">
        <f t="shared" si="2"/>
        <v>41498.35</v>
      </c>
      <c r="L22" s="47">
        <f t="shared" si="2"/>
        <v>33302.27</v>
      </c>
      <c r="M22" s="47">
        <f t="shared" si="2"/>
        <v>37621.770000000004</v>
      </c>
      <c r="N22" s="47">
        <f t="shared" si="2"/>
        <v>37010.34</v>
      </c>
      <c r="O22" s="47">
        <f t="shared" si="2"/>
        <v>396203.49</v>
      </c>
    </row>
    <row r="23" spans="2:15" ht="12.75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2"/>
    </row>
    <row r="24" spans="2:15" ht="12.75">
      <c r="B24" s="42" t="s">
        <v>19</v>
      </c>
      <c r="C24" s="51">
        <f aca="true" t="shared" si="3" ref="C24:O24">C22/C16</f>
        <v>0.8682098144466253</v>
      </c>
      <c r="D24" s="51">
        <f t="shared" si="3"/>
        <v>0.7130104358957371</v>
      </c>
      <c r="E24" s="51">
        <f t="shared" si="3"/>
        <v>1.1128719713929178</v>
      </c>
      <c r="F24" s="51">
        <f t="shared" si="3"/>
        <v>0.8205526180306555</v>
      </c>
      <c r="G24" s="51">
        <f t="shared" si="3"/>
        <v>1.1141195499356609</v>
      </c>
      <c r="H24" s="51">
        <f t="shared" si="3"/>
        <v>0.8936774360604601</v>
      </c>
      <c r="I24" s="51">
        <f t="shared" si="3"/>
        <v>1.1387633368668661</v>
      </c>
      <c r="J24" s="51">
        <f t="shared" si="3"/>
        <v>0.7446164766066042</v>
      </c>
      <c r="K24" s="51">
        <f t="shared" si="3"/>
        <v>1.201276182348817</v>
      </c>
      <c r="L24" s="51">
        <f t="shared" si="3"/>
        <v>0.745222120354791</v>
      </c>
      <c r="M24" s="51">
        <f t="shared" si="3"/>
        <v>1.089058630977021</v>
      </c>
      <c r="N24" s="51">
        <f t="shared" si="3"/>
        <v>1.0713592213336605</v>
      </c>
      <c r="O24" s="52">
        <f t="shared" si="3"/>
        <v>0.9550840602767959</v>
      </c>
    </row>
    <row r="25" spans="2:15" ht="12.75">
      <c r="B25" s="42" t="s">
        <v>20</v>
      </c>
      <c r="C25" s="54">
        <f aca="true" t="shared" si="4" ref="C25:O25">C16-C22</f>
        <v>4336.389999999999</v>
      </c>
      <c r="D25" s="54">
        <f t="shared" si="4"/>
        <v>9443.029999999999</v>
      </c>
      <c r="E25" s="54">
        <f t="shared" si="4"/>
        <v>-3713.9100000000035</v>
      </c>
      <c r="F25" s="54">
        <f t="shared" si="4"/>
        <v>5904.489999999998</v>
      </c>
      <c r="G25" s="54">
        <f t="shared" si="4"/>
        <v>-3754.959999999999</v>
      </c>
      <c r="H25" s="54">
        <f t="shared" si="4"/>
        <v>3498.409999999996</v>
      </c>
      <c r="I25" s="54">
        <f t="shared" si="4"/>
        <v>-4793.610000000001</v>
      </c>
      <c r="J25" s="54">
        <f t="shared" si="4"/>
        <v>8822.280000000002</v>
      </c>
      <c r="K25" s="54">
        <f t="shared" si="4"/>
        <v>-6953.129999999997</v>
      </c>
      <c r="L25" s="54">
        <f t="shared" si="4"/>
        <v>11385.440000000002</v>
      </c>
      <c r="M25" s="54">
        <f t="shared" si="4"/>
        <v>-3076.550000000003</v>
      </c>
      <c r="N25" s="54">
        <f t="shared" si="4"/>
        <v>-2465.1199999999953</v>
      </c>
      <c r="O25" s="54">
        <f t="shared" si="4"/>
        <v>18632.76000000001</v>
      </c>
    </row>
    <row r="26" spans="2:15" ht="12.75"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2"/>
    </row>
    <row r="27" spans="2:25" s="57" customFormat="1" ht="12.75">
      <c r="B27" s="55" t="s">
        <v>21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/>
      <c r="Y27" s="58"/>
    </row>
    <row r="28" spans="2:25" s="57" customFormat="1" ht="12.75"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/>
      <c r="Y28" s="58"/>
    </row>
    <row r="29" spans="2:25" s="57" customFormat="1" ht="12.75">
      <c r="B29" s="56" t="s">
        <v>22</v>
      </c>
      <c r="C29" s="56">
        <v>235.85</v>
      </c>
      <c r="D29" s="56">
        <v>186.05</v>
      </c>
      <c r="E29" s="56">
        <v>463.52</v>
      </c>
      <c r="F29" s="56">
        <f>255.1+52.42</f>
        <v>307.52</v>
      </c>
      <c r="G29" s="56">
        <v>1688.1</v>
      </c>
      <c r="H29" s="56">
        <f>192.11+110.17</f>
        <v>302.28000000000003</v>
      </c>
      <c r="I29" s="56">
        <v>269.36</v>
      </c>
      <c r="J29" s="56">
        <v>274.93</v>
      </c>
      <c r="K29" s="56">
        <v>246.07</v>
      </c>
      <c r="L29" s="56">
        <v>400.99</v>
      </c>
      <c r="M29" s="56">
        <v>111.11</v>
      </c>
      <c r="N29" s="56">
        <v>291.76</v>
      </c>
      <c r="O29" s="56">
        <f>C29+D29+E29+F29+G29+H29+I29+J29+K29+L29+M29+N29</f>
        <v>4777.54</v>
      </c>
      <c r="Y29" s="58"/>
    </row>
    <row r="30" spans="2:25" s="57" customFormat="1" ht="12.75">
      <c r="B30" s="56" t="s">
        <v>164</v>
      </c>
      <c r="C30" s="56">
        <v>11582.09</v>
      </c>
      <c r="D30" s="56">
        <v>11582.09</v>
      </c>
      <c r="E30" s="56">
        <v>11582.09</v>
      </c>
      <c r="F30" s="56">
        <v>11582.09</v>
      </c>
      <c r="G30" s="56">
        <v>11582.09</v>
      </c>
      <c r="H30" s="56">
        <v>11582.09</v>
      </c>
      <c r="I30" s="56">
        <v>11582.09</v>
      </c>
      <c r="J30" s="56">
        <v>9954.86</v>
      </c>
      <c r="K30" s="56">
        <v>10139.85</v>
      </c>
      <c r="L30" s="56">
        <v>10139.85</v>
      </c>
      <c r="M30" s="56">
        <v>10139.85</v>
      </c>
      <c r="N30" s="56">
        <v>10139.85</v>
      </c>
      <c r="O30" s="56">
        <f aca="true" t="shared" si="5" ref="O30:O69">C30+D30+E30+F30+G30+H30+I30+J30+K30+L30+M30+N30</f>
        <v>131588.89</v>
      </c>
      <c r="Y30" s="58"/>
    </row>
    <row r="31" spans="2:25" s="57" customFormat="1" ht="12.75">
      <c r="B31" s="56" t="s">
        <v>31</v>
      </c>
      <c r="C31" s="56">
        <f>1452.7+1194.57</f>
        <v>2647.27</v>
      </c>
      <c r="D31" s="56">
        <f>1452.7+2313.96</f>
        <v>3766.66</v>
      </c>
      <c r="E31" s="56">
        <f>1452.7+2000+246.92</f>
        <v>3699.62</v>
      </c>
      <c r="F31" s="56">
        <f>2000+833.03</f>
        <v>2833.0299999999997</v>
      </c>
      <c r="G31" s="56">
        <f>2000+833.03</f>
        <v>2833.0299999999997</v>
      </c>
      <c r="H31" s="56">
        <f>2000+833.03</f>
        <v>2833.0299999999997</v>
      </c>
      <c r="I31" s="56">
        <v>2819.25</v>
      </c>
      <c r="J31" s="56">
        <v>2156.14</v>
      </c>
      <c r="K31" s="56">
        <v>2156.14</v>
      </c>
      <c r="L31" s="56">
        <v>2156.14</v>
      </c>
      <c r="M31" s="56">
        <f>2156.14</f>
        <v>2156.14</v>
      </c>
      <c r="N31" s="56">
        <f>2156.14</f>
        <v>2156.14</v>
      </c>
      <c r="O31" s="56">
        <f>C31+D31+E31+F31+G31+H31+I31+J31+K31+L31+M31+N31+1101.72</f>
        <v>33314.30999999999</v>
      </c>
      <c r="Y31" s="58"/>
    </row>
    <row r="32" spans="2:25" s="57" customFormat="1" ht="12.75">
      <c r="B32" s="56" t="s">
        <v>32</v>
      </c>
      <c r="C32" s="56">
        <v>2707.87</v>
      </c>
      <c r="D32" s="56">
        <v>5399.48</v>
      </c>
      <c r="E32" s="56">
        <f>2671.71+2727.78</f>
        <v>5399.49</v>
      </c>
      <c r="F32" s="56">
        <f>2952.26+2356.58</f>
        <v>5308.84</v>
      </c>
      <c r="G32" s="56">
        <f>2936.82+2356.58</f>
        <v>5293.4</v>
      </c>
      <c r="H32" s="56">
        <f>2644.1+2664.72</f>
        <v>5308.82</v>
      </c>
      <c r="I32" s="56">
        <v>5308.82</v>
      </c>
      <c r="J32" s="56">
        <f>3856.01</f>
        <v>3856.01</v>
      </c>
      <c r="K32" s="56">
        <f>1452.81+2313.61+2995.22</f>
        <v>6761.639999999999</v>
      </c>
      <c r="L32" s="56">
        <f>3858.01+1452.81</f>
        <v>5310.82</v>
      </c>
      <c r="M32" s="56">
        <f>3105.39</f>
        <v>3105.39</v>
      </c>
      <c r="N32" s="56">
        <f>2754.29+2203.43+2554.53</f>
        <v>7512.25</v>
      </c>
      <c r="O32" s="56">
        <f t="shared" si="5"/>
        <v>61272.83</v>
      </c>
      <c r="Y32" s="58"/>
    </row>
    <row r="33" spans="2:25" s="57" customFormat="1" ht="12.75">
      <c r="B33" s="56" t="s">
        <v>26</v>
      </c>
      <c r="C33" s="56">
        <v>6889.85</v>
      </c>
      <c r="D33" s="56">
        <v>342.06</v>
      </c>
      <c r="E33" s="56">
        <v>342.06</v>
      </c>
      <c r="F33" s="56">
        <v>1300.51</v>
      </c>
      <c r="G33" s="56">
        <v>342.06</v>
      </c>
      <c r="H33" s="56">
        <v>342.06</v>
      </c>
      <c r="I33" s="56">
        <v>342.06</v>
      </c>
      <c r="J33" s="56">
        <v>551.77</v>
      </c>
      <c r="K33" s="56">
        <v>209.71</v>
      </c>
      <c r="L33" s="56">
        <v>209.71</v>
      </c>
      <c r="M33" s="56">
        <v>209.71</v>
      </c>
      <c r="N33" s="56">
        <v>209.71</v>
      </c>
      <c r="O33" s="56">
        <f t="shared" si="5"/>
        <v>11291.269999999997</v>
      </c>
      <c r="Y33" s="58"/>
    </row>
    <row r="34" spans="2:25" s="57" customFormat="1" ht="12.75">
      <c r="B34" s="59" t="s">
        <v>33</v>
      </c>
      <c r="C34" s="56">
        <v>31.85</v>
      </c>
      <c r="D34" s="56">
        <v>31.85</v>
      </c>
      <c r="E34" s="56">
        <v>31.85</v>
      </c>
      <c r="F34" s="56">
        <v>31.85</v>
      </c>
      <c r="G34" s="56">
        <v>31.85</v>
      </c>
      <c r="H34" s="56">
        <v>31.85</v>
      </c>
      <c r="I34" s="56">
        <v>31.85</v>
      </c>
      <c r="J34" s="56">
        <v>31.85</v>
      </c>
      <c r="K34" s="56">
        <v>31.85</v>
      </c>
      <c r="L34" s="56">
        <v>31.85</v>
      </c>
      <c r="M34" s="56">
        <v>31.85</v>
      </c>
      <c r="N34" s="56">
        <v>31.85</v>
      </c>
      <c r="O34" s="56">
        <f t="shared" si="5"/>
        <v>382.20000000000005</v>
      </c>
      <c r="Y34" s="58"/>
    </row>
    <row r="35" spans="2:25" s="57" customFormat="1" ht="12.75">
      <c r="B35" s="56" t="s">
        <v>34</v>
      </c>
      <c r="C35" s="56">
        <v>1900</v>
      </c>
      <c r="D35" s="56">
        <v>3900</v>
      </c>
      <c r="E35" s="56">
        <f>1950+1950</f>
        <v>3900</v>
      </c>
      <c r="F35" s="56">
        <v>3900</v>
      </c>
      <c r="G35" s="56">
        <v>3900</v>
      </c>
      <c r="H35" s="56">
        <v>3900</v>
      </c>
      <c r="I35" s="56"/>
      <c r="J35" s="56"/>
      <c r="K35" s="56"/>
      <c r="L35" s="56">
        <v>3900</v>
      </c>
      <c r="M35" s="56">
        <v>1950</v>
      </c>
      <c r="N35" s="56">
        <f>1950+2000</f>
        <v>3950</v>
      </c>
      <c r="O35" s="56">
        <f t="shared" si="5"/>
        <v>31200</v>
      </c>
      <c r="Y35" s="58"/>
    </row>
    <row r="36" spans="2:25" s="57" customFormat="1" ht="12.75">
      <c r="B36" s="56" t="s">
        <v>30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>
        <f t="shared" si="5"/>
        <v>0</v>
      </c>
      <c r="Y36" s="58"/>
    </row>
    <row r="37" spans="2:25" s="57" customFormat="1" ht="12.75">
      <c r="B37" s="56" t="s">
        <v>36</v>
      </c>
      <c r="C37" s="56">
        <v>1844.95</v>
      </c>
      <c r="D37" s="56">
        <v>1844.95</v>
      </c>
      <c r="E37" s="56">
        <v>1844.95</v>
      </c>
      <c r="F37" s="56">
        <v>1844.95</v>
      </c>
      <c r="G37" s="56">
        <v>1844.95</v>
      </c>
      <c r="H37" s="56">
        <v>1085.79</v>
      </c>
      <c r="I37" s="56">
        <f>2192.78+803.77</f>
        <v>2996.55</v>
      </c>
      <c r="J37" s="56">
        <f>1225.75+735.4</f>
        <v>1961.15</v>
      </c>
      <c r="K37" s="56">
        <f>1215.3+745.85</f>
        <v>1961.15</v>
      </c>
      <c r="L37" s="56">
        <f>1325.14+636</f>
        <v>1961.14</v>
      </c>
      <c r="M37" s="56">
        <f>1285.41+675.74</f>
        <v>1961.15</v>
      </c>
      <c r="N37" s="56">
        <f>1367.09+594.05</f>
        <v>1961.1399999999999</v>
      </c>
      <c r="O37" s="56">
        <f t="shared" si="5"/>
        <v>23112.82</v>
      </c>
      <c r="Y37" s="58"/>
    </row>
    <row r="38" spans="2:25" s="57" customFormat="1" ht="12.75">
      <c r="B38" s="56" t="s">
        <v>35</v>
      </c>
      <c r="C38" s="56">
        <v>421.27</v>
      </c>
      <c r="D38" s="56">
        <v>421.27</v>
      </c>
      <c r="E38" s="56">
        <v>421.27</v>
      </c>
      <c r="F38" s="56">
        <v>421.27</v>
      </c>
      <c r="G38" s="56">
        <v>421.27</v>
      </c>
      <c r="H38" s="56">
        <v>421.27</v>
      </c>
      <c r="I38" s="60">
        <v>508.45</v>
      </c>
      <c r="J38" s="56">
        <v>508.45</v>
      </c>
      <c r="K38" s="56">
        <v>508.45</v>
      </c>
      <c r="L38" s="56">
        <v>508.45</v>
      </c>
      <c r="M38" s="56">
        <v>508.45</v>
      </c>
      <c r="N38" s="56">
        <v>508.45</v>
      </c>
      <c r="O38" s="56">
        <f t="shared" si="5"/>
        <v>5578.319999999999</v>
      </c>
      <c r="Y38" s="58"/>
    </row>
    <row r="39" spans="2:25" s="57" customFormat="1" ht="12.75">
      <c r="B39" s="56" t="s">
        <v>29</v>
      </c>
      <c r="C39" s="56">
        <v>97.67</v>
      </c>
      <c r="D39" s="56">
        <v>282.98</v>
      </c>
      <c r="E39" s="56">
        <v>83.29</v>
      </c>
      <c r="F39" s="56">
        <v>165.21</v>
      </c>
      <c r="G39" s="56"/>
      <c r="H39" s="56">
        <v>100.59</v>
      </c>
      <c r="I39" s="56">
        <v>100.59</v>
      </c>
      <c r="J39" s="56">
        <v>218.46</v>
      </c>
      <c r="K39" s="56">
        <v>159.41</v>
      </c>
      <c r="L39" s="56">
        <v>178.82</v>
      </c>
      <c r="M39" s="56">
        <v>178.82</v>
      </c>
      <c r="N39" s="56">
        <v>101.91</v>
      </c>
      <c r="O39" s="56">
        <f t="shared" si="5"/>
        <v>1667.7500000000002</v>
      </c>
      <c r="Y39" s="58"/>
    </row>
    <row r="40" spans="2:25" s="57" customFormat="1" ht="12.75">
      <c r="B40" s="56" t="s">
        <v>39</v>
      </c>
      <c r="C40" s="56">
        <v>2217.08</v>
      </c>
      <c r="D40" s="56">
        <f>832.15+2341.2</f>
        <v>3173.35</v>
      </c>
      <c r="E40" s="56">
        <v>365.67</v>
      </c>
      <c r="F40" s="56">
        <v>1881.3</v>
      </c>
      <c r="G40" s="56">
        <v>1881.3</v>
      </c>
      <c r="H40" s="56">
        <v>1641.05</v>
      </c>
      <c r="I40" s="56">
        <v>1000</v>
      </c>
      <c r="J40" s="56">
        <v>1000</v>
      </c>
      <c r="K40" s="56">
        <v>916.78</v>
      </c>
      <c r="L40" s="56">
        <v>1000</v>
      </c>
      <c r="M40" s="56">
        <v>1500</v>
      </c>
      <c r="N40" s="56">
        <v>1500</v>
      </c>
      <c r="O40" s="56">
        <f t="shared" si="5"/>
        <v>18076.53</v>
      </c>
      <c r="Y40" s="58"/>
    </row>
    <row r="41" spans="2:25" s="57" customFormat="1" ht="12.75">
      <c r="B41" s="56" t="s">
        <v>40</v>
      </c>
      <c r="C41" s="56"/>
      <c r="D41" s="56"/>
      <c r="E41" s="56"/>
      <c r="F41" s="56"/>
      <c r="G41" s="56"/>
      <c r="H41" s="56">
        <v>643.14</v>
      </c>
      <c r="I41" s="56">
        <v>643.14</v>
      </c>
      <c r="J41" s="56">
        <v>643.14</v>
      </c>
      <c r="K41" s="56"/>
      <c r="L41" s="56"/>
      <c r="M41" s="56"/>
      <c r="N41" s="56"/>
      <c r="O41" s="56">
        <f t="shared" si="5"/>
        <v>1929.42</v>
      </c>
      <c r="Y41" s="58"/>
    </row>
    <row r="42" spans="2:25" s="57" customFormat="1" ht="12.75">
      <c r="B42" s="56" t="s">
        <v>41</v>
      </c>
      <c r="C42" s="56"/>
      <c r="D42" s="56"/>
      <c r="E42" s="56"/>
      <c r="F42" s="56"/>
      <c r="G42" s="56">
        <v>10895.25</v>
      </c>
      <c r="H42" s="56">
        <v>30</v>
      </c>
      <c r="I42" s="56"/>
      <c r="J42" s="56"/>
      <c r="K42" s="56"/>
      <c r="L42" s="56"/>
      <c r="M42" s="56"/>
      <c r="N42" s="56"/>
      <c r="O42" s="56">
        <f t="shared" si="5"/>
        <v>10925.25</v>
      </c>
      <c r="Y42" s="58"/>
    </row>
    <row r="43" spans="2:25" s="57" customFormat="1" ht="12.75"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Y43" s="58"/>
    </row>
    <row r="44" spans="2:25" s="57" customFormat="1" ht="12.75">
      <c r="B44" s="55" t="s">
        <v>42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Y44" s="58"/>
    </row>
    <row r="45" spans="2:25" s="57" customFormat="1" ht="12.75">
      <c r="B45" s="56" t="s">
        <v>45</v>
      </c>
      <c r="C45" s="56">
        <v>139.95</v>
      </c>
      <c r="D45" s="56">
        <v>139.95</v>
      </c>
      <c r="E45" s="56">
        <v>139.95</v>
      </c>
      <c r="F45" s="56">
        <v>139.95</v>
      </c>
      <c r="G45" s="56">
        <v>139.95</v>
      </c>
      <c r="H45" s="56">
        <v>139.95</v>
      </c>
      <c r="I45" s="56">
        <v>139.95</v>
      </c>
      <c r="J45" s="56">
        <v>139.95</v>
      </c>
      <c r="K45" s="56">
        <v>139.95</v>
      </c>
      <c r="L45" s="56">
        <v>139.95</v>
      </c>
      <c r="M45" s="56">
        <v>139.95</v>
      </c>
      <c r="N45" s="56">
        <v>139.95</v>
      </c>
      <c r="O45" s="56">
        <f t="shared" si="5"/>
        <v>1679.4000000000003</v>
      </c>
      <c r="Y45" s="58"/>
    </row>
    <row r="46" spans="2:25" s="57" customFormat="1" ht="12.75">
      <c r="B46" s="56" t="s">
        <v>126</v>
      </c>
      <c r="C46" s="56">
        <v>239.25</v>
      </c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>
        <f t="shared" si="5"/>
        <v>239.25</v>
      </c>
      <c r="Y46" s="58"/>
    </row>
    <row r="47" spans="2:25" s="57" customFormat="1" ht="12.75">
      <c r="B47" s="56" t="s">
        <v>46</v>
      </c>
      <c r="C47" s="56"/>
      <c r="D47" s="56">
        <f>491.77+58.82</f>
        <v>550.59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>
        <f t="shared" si="5"/>
        <v>550.59</v>
      </c>
      <c r="Y47" s="58"/>
    </row>
    <row r="48" spans="2:25" s="57" customFormat="1" ht="12.75">
      <c r="B48" s="56" t="s">
        <v>47</v>
      </c>
      <c r="C48" s="56"/>
      <c r="D48" s="56">
        <v>117.65</v>
      </c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>
        <f t="shared" si="5"/>
        <v>117.65</v>
      </c>
      <c r="Y48" s="58"/>
    </row>
    <row r="49" spans="2:25" s="57" customFormat="1" ht="12.75">
      <c r="B49" s="56" t="s">
        <v>48</v>
      </c>
      <c r="C49" s="56"/>
      <c r="D49" s="56"/>
      <c r="E49" s="56">
        <v>17.65</v>
      </c>
      <c r="F49" s="56"/>
      <c r="G49" s="56"/>
      <c r="H49" s="56"/>
      <c r="I49" s="56"/>
      <c r="J49" s="56"/>
      <c r="K49" s="56"/>
      <c r="L49" s="56"/>
      <c r="M49" s="56"/>
      <c r="N49" s="56"/>
      <c r="O49" s="56">
        <f t="shared" si="5"/>
        <v>17.65</v>
      </c>
      <c r="Y49" s="58"/>
    </row>
    <row r="50" spans="2:25" s="57" customFormat="1" ht="12.75">
      <c r="B50" s="56" t="s">
        <v>50</v>
      </c>
      <c r="C50" s="56"/>
      <c r="D50" s="56"/>
      <c r="E50" s="60">
        <v>126.47</v>
      </c>
      <c r="F50" s="56"/>
      <c r="G50" s="56">
        <v>1070</v>
      </c>
      <c r="H50" s="56">
        <v>525</v>
      </c>
      <c r="I50" s="56"/>
      <c r="J50" s="56">
        <v>25</v>
      </c>
      <c r="K50" s="56"/>
      <c r="L50" s="56">
        <v>32.5</v>
      </c>
      <c r="M50" s="56"/>
      <c r="N50" s="56"/>
      <c r="O50" s="56">
        <f t="shared" si="5"/>
        <v>1778.97</v>
      </c>
      <c r="Y50" s="58"/>
    </row>
    <row r="51" spans="2:25" s="57" customFormat="1" ht="12.75">
      <c r="B51" s="56" t="s">
        <v>78</v>
      </c>
      <c r="C51" s="56"/>
      <c r="D51" s="56">
        <v>300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>
        <f t="shared" si="5"/>
        <v>300</v>
      </c>
      <c r="Y51" s="58"/>
    </row>
    <row r="52" spans="2:25" s="57" customFormat="1" ht="12.75">
      <c r="B52" s="56" t="s">
        <v>51</v>
      </c>
      <c r="C52" s="56"/>
      <c r="D52" s="56"/>
      <c r="E52" s="56"/>
      <c r="F52" s="56"/>
      <c r="G52" s="56">
        <v>405.71</v>
      </c>
      <c r="H52" s="56">
        <f>116.92+58.46</f>
        <v>175.38</v>
      </c>
      <c r="I52" s="56">
        <v>97.76</v>
      </c>
      <c r="J52" s="56">
        <v>80.77</v>
      </c>
      <c r="K52" s="56"/>
      <c r="L52" s="56"/>
      <c r="M52" s="56"/>
      <c r="N52" s="56"/>
      <c r="O52" s="56">
        <f t="shared" si="5"/>
        <v>759.6199999999999</v>
      </c>
      <c r="Y52" s="58"/>
    </row>
    <row r="53" spans="2:25" s="57" customFormat="1" ht="12.75">
      <c r="B53" s="56" t="s">
        <v>130</v>
      </c>
      <c r="C53" s="56"/>
      <c r="D53" s="56"/>
      <c r="E53" s="56"/>
      <c r="F53" s="56"/>
      <c r="G53" s="56"/>
      <c r="H53" s="56"/>
      <c r="I53" s="56">
        <v>161.76</v>
      </c>
      <c r="J53" s="56"/>
      <c r="K53" s="56"/>
      <c r="L53" s="56"/>
      <c r="M53" s="56"/>
      <c r="N53" s="56"/>
      <c r="O53" s="56">
        <f t="shared" si="5"/>
        <v>161.76</v>
      </c>
      <c r="Y53" s="58"/>
    </row>
    <row r="54" spans="2:25" s="57" customFormat="1" ht="12.75">
      <c r="B54" s="56" t="s">
        <v>131</v>
      </c>
      <c r="C54" s="56"/>
      <c r="D54" s="56"/>
      <c r="E54" s="56"/>
      <c r="F54" s="56"/>
      <c r="G54" s="56"/>
      <c r="H54" s="56"/>
      <c r="I54" s="56">
        <v>75</v>
      </c>
      <c r="J54" s="56"/>
      <c r="K54" s="56"/>
      <c r="L54" s="56"/>
      <c r="M54" s="56"/>
      <c r="N54" s="56"/>
      <c r="O54" s="56">
        <f t="shared" si="5"/>
        <v>75</v>
      </c>
      <c r="Y54" s="58"/>
    </row>
    <row r="55" spans="2:25" s="57" customFormat="1" ht="12.75">
      <c r="B55" s="59" t="s">
        <v>172</v>
      </c>
      <c r="C55" s="56"/>
      <c r="D55" s="56"/>
      <c r="E55" s="56"/>
      <c r="F55" s="56"/>
      <c r="G55" s="56"/>
      <c r="H55" s="56"/>
      <c r="I55" s="56">
        <v>116</v>
      </c>
      <c r="J55" s="56"/>
      <c r="K55" s="56"/>
      <c r="L55" s="56"/>
      <c r="M55" s="56"/>
      <c r="N55" s="56"/>
      <c r="O55" s="56">
        <f t="shared" si="5"/>
        <v>116</v>
      </c>
      <c r="Y55" s="58"/>
    </row>
    <row r="56" spans="2:25" s="57" customFormat="1" ht="12.75">
      <c r="B56" s="59" t="s">
        <v>139</v>
      </c>
      <c r="C56" s="56"/>
      <c r="D56" s="56"/>
      <c r="E56" s="56"/>
      <c r="F56" s="56"/>
      <c r="G56" s="56"/>
      <c r="H56" s="56"/>
      <c r="I56" s="56"/>
      <c r="J56" s="56">
        <v>24.79</v>
      </c>
      <c r="K56" s="56"/>
      <c r="L56" s="56"/>
      <c r="M56" s="56"/>
      <c r="N56" s="56"/>
      <c r="O56" s="56">
        <f t="shared" si="5"/>
        <v>24.79</v>
      </c>
      <c r="Y56" s="58"/>
    </row>
    <row r="57" spans="2:25" s="57" customFormat="1" ht="12.75">
      <c r="B57" s="56" t="s">
        <v>155</v>
      </c>
      <c r="C57" s="56"/>
      <c r="D57" s="56"/>
      <c r="E57" s="56"/>
      <c r="F57" s="56"/>
      <c r="G57" s="56"/>
      <c r="H57" s="56"/>
      <c r="I57" s="56"/>
      <c r="J57" s="56">
        <v>165.26</v>
      </c>
      <c r="K57" s="56"/>
      <c r="L57" s="56">
        <v>184.41</v>
      </c>
      <c r="M57" s="56">
        <v>184.41</v>
      </c>
      <c r="N57" s="56">
        <v>245.88</v>
      </c>
      <c r="O57" s="56">
        <f t="shared" si="5"/>
        <v>779.9599999999999</v>
      </c>
      <c r="Y57" s="58"/>
    </row>
    <row r="58" spans="2:25" s="57" customFormat="1" ht="12.75">
      <c r="B58" s="56" t="s">
        <v>156</v>
      </c>
      <c r="C58" s="56"/>
      <c r="D58" s="56"/>
      <c r="E58" s="56"/>
      <c r="F58" s="56"/>
      <c r="G58" s="56"/>
      <c r="H58" s="56"/>
      <c r="I58" s="56"/>
      <c r="J58" s="56">
        <v>21.48</v>
      </c>
      <c r="K58" s="56"/>
      <c r="L58" s="56"/>
      <c r="M58" s="56"/>
      <c r="N58" s="56"/>
      <c r="O58" s="56">
        <f t="shared" si="5"/>
        <v>21.48</v>
      </c>
      <c r="Y58" s="58"/>
    </row>
    <row r="59" spans="2:25" s="57" customFormat="1" ht="12.75">
      <c r="B59" s="56" t="s">
        <v>157</v>
      </c>
      <c r="C59" s="56"/>
      <c r="D59" s="56"/>
      <c r="E59" s="56"/>
      <c r="F59" s="56"/>
      <c r="G59" s="56"/>
      <c r="H59" s="56"/>
      <c r="I59" s="56"/>
      <c r="J59" s="56"/>
      <c r="K59" s="56">
        <v>160.75</v>
      </c>
      <c r="L59" s="56"/>
      <c r="M59" s="56"/>
      <c r="N59" s="56"/>
      <c r="O59" s="56">
        <f t="shared" si="5"/>
        <v>160.75</v>
      </c>
      <c r="Y59" s="58"/>
    </row>
    <row r="60" spans="2:25" s="57" customFormat="1" ht="12.75">
      <c r="B60" s="56" t="s">
        <v>158</v>
      </c>
      <c r="C60" s="56"/>
      <c r="D60" s="56"/>
      <c r="E60" s="56"/>
      <c r="F60" s="56"/>
      <c r="G60" s="56"/>
      <c r="H60" s="56"/>
      <c r="I60" s="56"/>
      <c r="J60" s="56"/>
      <c r="K60" s="56"/>
      <c r="L60" s="56">
        <v>7905.44</v>
      </c>
      <c r="M60" s="56"/>
      <c r="N60" s="56"/>
      <c r="O60" s="56">
        <f t="shared" si="5"/>
        <v>7905.44</v>
      </c>
      <c r="Y60" s="58"/>
    </row>
    <row r="61" spans="2:25" s="57" customFormat="1" ht="12.75">
      <c r="B61" s="56" t="s">
        <v>159</v>
      </c>
      <c r="C61" s="56"/>
      <c r="D61" s="56"/>
      <c r="E61" s="56"/>
      <c r="F61" s="56"/>
      <c r="G61" s="56"/>
      <c r="H61" s="56"/>
      <c r="I61" s="56"/>
      <c r="J61" s="56"/>
      <c r="K61" s="56">
        <v>17.5</v>
      </c>
      <c r="L61" s="56"/>
      <c r="M61" s="56"/>
      <c r="N61" s="56"/>
      <c r="O61" s="56">
        <f t="shared" si="5"/>
        <v>17.5</v>
      </c>
      <c r="Y61" s="58"/>
    </row>
    <row r="62" spans="2:25" s="57" customFormat="1" ht="12.75">
      <c r="B62" s="56" t="s">
        <v>173</v>
      </c>
      <c r="C62" s="56"/>
      <c r="D62" s="56"/>
      <c r="E62" s="56"/>
      <c r="F62" s="56"/>
      <c r="G62" s="56"/>
      <c r="H62" s="56"/>
      <c r="I62" s="56"/>
      <c r="J62" s="56"/>
      <c r="K62" s="56"/>
      <c r="L62" s="56">
        <v>5800</v>
      </c>
      <c r="M62" s="56"/>
      <c r="N62" s="56"/>
      <c r="O62" s="56">
        <f t="shared" si="5"/>
        <v>5800</v>
      </c>
      <c r="Y62" s="58"/>
    </row>
    <row r="63" spans="2:25" s="57" customFormat="1" ht="12.75">
      <c r="B63" s="56" t="s">
        <v>161</v>
      </c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>
        <v>227.44</v>
      </c>
      <c r="N63" s="56"/>
      <c r="O63" s="56">
        <f t="shared" si="5"/>
        <v>227.44</v>
      </c>
      <c r="Y63" s="58"/>
    </row>
    <row r="64" spans="2:25" s="57" customFormat="1" ht="12.75">
      <c r="B64" s="56" t="s">
        <v>167</v>
      </c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>
        <v>10.31</v>
      </c>
      <c r="N64" s="56"/>
      <c r="O64" s="56">
        <f t="shared" si="5"/>
        <v>10.31</v>
      </c>
      <c r="Y64" s="58"/>
    </row>
    <row r="65" spans="2:25" s="57" customFormat="1" ht="12.75">
      <c r="B65" s="56" t="s">
        <v>165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>
        <v>55.09</v>
      </c>
      <c r="O65" s="56">
        <f t="shared" si="5"/>
        <v>55.09</v>
      </c>
      <c r="Y65" s="58"/>
    </row>
    <row r="66" spans="2:25" s="57" customFormat="1" ht="12.75" hidden="1"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>
        <f t="shared" si="5"/>
        <v>0</v>
      </c>
      <c r="Y66" s="58"/>
    </row>
    <row r="67" spans="2:25" s="57" customFormat="1" ht="12.75" hidden="1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>
        <f t="shared" si="5"/>
        <v>0</v>
      </c>
      <c r="Y67" s="58"/>
    </row>
    <row r="68" spans="2:25" s="57" customFormat="1" ht="12.75" hidden="1"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>
        <f t="shared" si="5"/>
        <v>0</v>
      </c>
      <c r="Y68" s="58"/>
    </row>
    <row r="69" spans="2:25" s="57" customFormat="1" ht="12.75" hidden="1"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>
        <f t="shared" si="5"/>
        <v>0</v>
      </c>
      <c r="Y69" s="58"/>
    </row>
    <row r="70" spans="2:25" s="57" customFormat="1" ht="12.75">
      <c r="B70" s="55" t="s">
        <v>16</v>
      </c>
      <c r="C70" s="55">
        <f aca="true" t="shared" si="6" ref="C70:O70">SUM(C29:C69)</f>
        <v>30954.95</v>
      </c>
      <c r="D70" s="55">
        <f t="shared" si="6"/>
        <v>32038.93</v>
      </c>
      <c r="E70" s="55">
        <f t="shared" si="6"/>
        <v>28417.880000000005</v>
      </c>
      <c r="F70" s="55">
        <f t="shared" si="6"/>
        <v>29716.519999999997</v>
      </c>
      <c r="G70" s="55">
        <f t="shared" si="6"/>
        <v>42328.96</v>
      </c>
      <c r="H70" s="55">
        <f t="shared" si="6"/>
        <v>29062.300000000003</v>
      </c>
      <c r="I70" s="55">
        <f t="shared" si="6"/>
        <v>26192.629999999997</v>
      </c>
      <c r="J70" s="55">
        <f t="shared" si="6"/>
        <v>21614.01</v>
      </c>
      <c r="K70" s="55">
        <f t="shared" si="6"/>
        <v>23409.249999999996</v>
      </c>
      <c r="L70" s="55">
        <f t="shared" si="6"/>
        <v>39860.07</v>
      </c>
      <c r="M70" s="55">
        <f t="shared" si="6"/>
        <v>22414.58</v>
      </c>
      <c r="N70" s="55">
        <f t="shared" si="6"/>
        <v>28803.98</v>
      </c>
      <c r="O70" s="55">
        <f t="shared" si="6"/>
        <v>355915.78000000014</v>
      </c>
      <c r="Y70" s="58"/>
    </row>
    <row r="71" spans="2:25" s="57" customFormat="1" ht="12.75"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Y71" s="58"/>
    </row>
    <row r="72" spans="2:15" ht="12.75">
      <c r="B72" s="61" t="s">
        <v>149</v>
      </c>
      <c r="C72" s="62" t="e">
        <f aca="true" t="shared" si="7" ref="C72:O72">C10+C22-C70</f>
        <v>#REF!</v>
      </c>
      <c r="D72" s="62" t="e">
        <f t="shared" si="7"/>
        <v>#REF!</v>
      </c>
      <c r="E72" s="62" t="e">
        <f t="shared" si="7"/>
        <v>#REF!</v>
      </c>
      <c r="F72" s="62" t="e">
        <f t="shared" si="7"/>
        <v>#REF!</v>
      </c>
      <c r="G72" s="62" t="e">
        <f t="shared" si="7"/>
        <v>#REF!</v>
      </c>
      <c r="H72" s="62" t="e">
        <f t="shared" si="7"/>
        <v>#REF!</v>
      </c>
      <c r="I72" s="62" t="e">
        <f t="shared" si="7"/>
        <v>#REF!</v>
      </c>
      <c r="J72" s="62" t="e">
        <f t="shared" si="7"/>
        <v>#REF!</v>
      </c>
      <c r="K72" s="62" t="e">
        <f t="shared" si="7"/>
        <v>#REF!</v>
      </c>
      <c r="L72" s="62" t="e">
        <f t="shared" si="7"/>
        <v>#REF!</v>
      </c>
      <c r="M72" s="62" t="e">
        <f t="shared" si="7"/>
        <v>#REF!</v>
      </c>
      <c r="N72" s="62" t="e">
        <f t="shared" si="7"/>
        <v>#REF!</v>
      </c>
      <c r="O72" s="63">
        <f t="shared" si="7"/>
        <v>-26953.57000000018</v>
      </c>
    </row>
    <row r="73" spans="2:15" ht="12.75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2"/>
    </row>
    <row r="74" spans="2:15" ht="12.75" hidden="1">
      <c r="B74" s="64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6"/>
    </row>
    <row r="75" s="67" customFormat="1" ht="12.75"/>
    <row r="76" ht="12.75">
      <c r="B76" s="39" t="s">
        <v>24</v>
      </c>
    </row>
    <row r="77" ht="12.75">
      <c r="B77" s="39" t="s">
        <v>25</v>
      </c>
    </row>
  </sheetData>
  <sheetProtection/>
  <mergeCells count="3">
    <mergeCell ref="B1:O1"/>
    <mergeCell ref="B2:O2"/>
    <mergeCell ref="B3:O3"/>
  </mergeCells>
  <printOptions/>
  <pageMargins left="0.2755905511811024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82"/>
  <sheetViews>
    <sheetView zoomScalePageLayoutView="0" workbookViewId="0" topLeftCell="A1">
      <pane xSplit="2" ySplit="5" topLeftCell="O6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74" sqref="Q74"/>
    </sheetView>
  </sheetViews>
  <sheetFormatPr defaultColWidth="26.75390625" defaultRowHeight="12.75"/>
  <cols>
    <col min="1" max="1" width="11.00390625" style="86" customWidth="1"/>
    <col min="2" max="2" width="43.00390625" style="86" customWidth="1"/>
    <col min="3" max="3" width="8.625" style="86" hidden="1" customWidth="1"/>
    <col min="4" max="5" width="9.375" style="86" hidden="1" customWidth="1"/>
    <col min="6" max="6" width="10.25390625" style="86" hidden="1" customWidth="1"/>
    <col min="7" max="7" width="9.125" style="86" hidden="1" customWidth="1"/>
    <col min="8" max="8" width="9.00390625" style="86" hidden="1" customWidth="1"/>
    <col min="9" max="9" width="8.875" style="86" hidden="1" customWidth="1"/>
    <col min="10" max="10" width="9.25390625" style="86" hidden="1" customWidth="1"/>
    <col min="11" max="11" width="11.25390625" style="86" hidden="1" customWidth="1"/>
    <col min="12" max="12" width="9.75390625" style="86" hidden="1" customWidth="1"/>
    <col min="13" max="13" width="8.75390625" style="86" hidden="1" customWidth="1"/>
    <col min="14" max="14" width="9.25390625" style="86" hidden="1" customWidth="1"/>
    <col min="15" max="15" width="9.25390625" style="87" customWidth="1"/>
    <col min="16" max="16" width="7.625" style="86" customWidth="1"/>
    <col min="17" max="24" width="26.75390625" style="86" customWidth="1"/>
    <col min="25" max="25" width="26.75390625" style="87" customWidth="1"/>
    <col min="26" max="16384" width="26.75390625" style="86" customWidth="1"/>
  </cols>
  <sheetData>
    <row r="1" spans="2:16" ht="12">
      <c r="B1" s="194" t="s">
        <v>151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85"/>
    </row>
    <row r="2" spans="2:16" ht="12">
      <c r="B2" s="194" t="s">
        <v>152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85"/>
    </row>
    <row r="3" spans="2:15" ht="12">
      <c r="B3" s="195" t="s">
        <v>95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4" spans="2:15" ht="12">
      <c r="B4" s="11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2:15" ht="24">
      <c r="B5" s="90" t="s">
        <v>96</v>
      </c>
      <c r="C5" s="91" t="s">
        <v>0</v>
      </c>
      <c r="D5" s="91" t="s">
        <v>1</v>
      </c>
      <c r="E5" s="91" t="s">
        <v>2</v>
      </c>
      <c r="F5" s="91" t="s">
        <v>3</v>
      </c>
      <c r="G5" s="91" t="s">
        <v>4</v>
      </c>
      <c r="H5" s="91" t="s">
        <v>5</v>
      </c>
      <c r="I5" s="91" t="s">
        <v>6</v>
      </c>
      <c r="J5" s="91" t="s">
        <v>7</v>
      </c>
      <c r="K5" s="91" t="s">
        <v>8</v>
      </c>
      <c r="L5" s="91" t="s">
        <v>9</v>
      </c>
      <c r="M5" s="91" t="s">
        <v>10</v>
      </c>
      <c r="N5" s="91" t="s">
        <v>11</v>
      </c>
      <c r="O5" s="92" t="s">
        <v>150</v>
      </c>
    </row>
    <row r="6" spans="2:15" ht="12"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</row>
    <row r="7" spans="2:15" ht="12">
      <c r="B7" s="94" t="s">
        <v>43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</row>
    <row r="8" spans="2:15" ht="12">
      <c r="B8" s="93" t="s">
        <v>13</v>
      </c>
      <c r="C8" s="93">
        <v>44278.98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>
        <f>C8+D8+E8+F8+G8+H8+I8+J8+K8+L8+M8+N8</f>
        <v>44278.98</v>
      </c>
    </row>
    <row r="9" spans="2:15" ht="12"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</row>
    <row r="10" spans="2:15" s="87" customFormat="1" ht="12">
      <c r="B10" s="94" t="s">
        <v>16</v>
      </c>
      <c r="C10" s="94">
        <f>C8+C9</f>
        <v>44278.98</v>
      </c>
      <c r="D10" s="94">
        <f aca="true" t="shared" si="0" ref="D10:I10">C78</f>
        <v>40725.04000000001</v>
      </c>
      <c r="E10" s="94">
        <f t="shared" si="0"/>
        <v>28459.000000000007</v>
      </c>
      <c r="F10" s="94">
        <f t="shared" si="0"/>
        <v>52181.81000000001</v>
      </c>
      <c r="G10" s="94">
        <f t="shared" si="0"/>
        <v>54500.91</v>
      </c>
      <c r="H10" s="94">
        <f t="shared" si="0"/>
        <v>42272.53999999999</v>
      </c>
      <c r="I10" s="94">
        <f t="shared" si="0"/>
        <v>60660.95</v>
      </c>
      <c r="J10" s="94">
        <f>I78</f>
        <v>61718.899999999994</v>
      </c>
      <c r="K10" s="94">
        <f>J78</f>
        <v>88590.80999999998</v>
      </c>
      <c r="L10" s="94">
        <f>K78</f>
        <v>65989.93</v>
      </c>
      <c r="M10" s="94">
        <f>L78</f>
        <v>56100.79000000001</v>
      </c>
      <c r="N10" s="94">
        <f>M78</f>
        <v>40279.26000000001</v>
      </c>
      <c r="O10" s="94">
        <f>O8+O9</f>
        <v>44278.98</v>
      </c>
    </row>
    <row r="11" spans="2:15" ht="12"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4"/>
    </row>
    <row r="12" spans="2:25" s="97" customFormat="1" ht="12">
      <c r="B12" s="95" t="s">
        <v>17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5"/>
      <c r="Y12" s="98"/>
    </row>
    <row r="13" spans="2:25" s="97" customFormat="1" ht="12">
      <c r="B13" s="96" t="s">
        <v>13</v>
      </c>
      <c r="C13" s="96">
        <v>62151.3</v>
      </c>
      <c r="D13" s="96">
        <v>62151.3</v>
      </c>
      <c r="E13" s="96">
        <v>62151.3</v>
      </c>
      <c r="F13" s="96">
        <v>62151.3</v>
      </c>
      <c r="G13" s="96">
        <v>62151.3</v>
      </c>
      <c r="H13" s="96">
        <v>62151.3</v>
      </c>
      <c r="I13" s="96">
        <v>74452.3</v>
      </c>
      <c r="J13" s="96">
        <v>74452.3</v>
      </c>
      <c r="K13" s="96">
        <v>74452.3</v>
      </c>
      <c r="L13" s="96">
        <v>74452.3</v>
      </c>
      <c r="M13" s="96">
        <v>74452.3</v>
      </c>
      <c r="N13" s="96">
        <v>74452.3</v>
      </c>
      <c r="O13" s="96">
        <f>C13+D13+E13+F13+G13+H13+I13+J13+K13+L13+M13+N13</f>
        <v>819621.6000000001</v>
      </c>
      <c r="Y13" s="98"/>
    </row>
    <row r="14" spans="2:25" s="97" customFormat="1" ht="12">
      <c r="B14" s="96" t="s">
        <v>38</v>
      </c>
      <c r="C14" s="96">
        <v>2987.72</v>
      </c>
      <c r="D14" s="96">
        <v>2987.72</v>
      </c>
      <c r="E14" s="96">
        <v>2987.72</v>
      </c>
      <c r="F14" s="96">
        <v>2987.72</v>
      </c>
      <c r="G14" s="96">
        <v>2987.72</v>
      </c>
      <c r="H14" s="96">
        <v>2987.72</v>
      </c>
      <c r="I14" s="96"/>
      <c r="J14" s="96"/>
      <c r="K14" s="96"/>
      <c r="L14" s="96"/>
      <c r="M14" s="96"/>
      <c r="N14" s="96"/>
      <c r="O14" s="96">
        <f>C14+D14+E14+F14+G14+H14+I14+J14+K14+L14+M14+N14</f>
        <v>17926.32</v>
      </c>
      <c r="Y14" s="98"/>
    </row>
    <row r="15" spans="2:25" s="97" customFormat="1" ht="12">
      <c r="B15" s="99" t="s">
        <v>30</v>
      </c>
      <c r="C15" s="96">
        <v>3150</v>
      </c>
      <c r="D15" s="96">
        <v>3150</v>
      </c>
      <c r="E15" s="96">
        <v>3150</v>
      </c>
      <c r="F15" s="96">
        <v>3150</v>
      </c>
      <c r="G15" s="96">
        <v>3150</v>
      </c>
      <c r="H15" s="96">
        <v>3150</v>
      </c>
      <c r="I15" s="96"/>
      <c r="J15" s="96"/>
      <c r="K15" s="96"/>
      <c r="L15" s="96"/>
      <c r="M15" s="96"/>
      <c r="N15" s="96"/>
      <c r="O15" s="96">
        <f>C15+D15+E15+F15+G15+H15+I15+J15+K15+L15+M15+N15</f>
        <v>18900</v>
      </c>
      <c r="Y15" s="98"/>
    </row>
    <row r="16" spans="2:15" s="98" customFormat="1" ht="12">
      <c r="B16" s="95" t="s">
        <v>16</v>
      </c>
      <c r="C16" s="95">
        <f aca="true" t="shared" si="1" ref="C16:N16">SUM(C11:C14)</f>
        <v>65139.020000000004</v>
      </c>
      <c r="D16" s="95">
        <f t="shared" si="1"/>
        <v>65139.020000000004</v>
      </c>
      <c r="E16" s="95">
        <f t="shared" si="1"/>
        <v>65139.020000000004</v>
      </c>
      <c r="F16" s="95">
        <f t="shared" si="1"/>
        <v>65139.020000000004</v>
      </c>
      <c r="G16" s="95">
        <f t="shared" si="1"/>
        <v>65139.020000000004</v>
      </c>
      <c r="H16" s="95">
        <f t="shared" si="1"/>
        <v>65139.020000000004</v>
      </c>
      <c r="I16" s="95">
        <f t="shared" si="1"/>
        <v>74452.3</v>
      </c>
      <c r="J16" s="95">
        <f t="shared" si="1"/>
        <v>74452.3</v>
      </c>
      <c r="K16" s="95">
        <f t="shared" si="1"/>
        <v>74452.3</v>
      </c>
      <c r="L16" s="95">
        <f t="shared" si="1"/>
        <v>74452.3</v>
      </c>
      <c r="M16" s="95">
        <f t="shared" si="1"/>
        <v>74452.3</v>
      </c>
      <c r="N16" s="95">
        <f t="shared" si="1"/>
        <v>74452.3</v>
      </c>
      <c r="O16" s="95">
        <f>C16+D16+E16+F16+G16+H16+I16+J16+K16+L16+M16+N16</f>
        <v>837547.9200000003</v>
      </c>
    </row>
    <row r="17" spans="2:15" ht="12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4"/>
    </row>
    <row r="18" spans="2:25" s="102" customFormat="1" ht="12">
      <c r="B18" s="100" t="s">
        <v>18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0"/>
      <c r="Y18" s="103"/>
    </row>
    <row r="19" spans="2:25" s="102" customFormat="1" ht="12">
      <c r="B19" s="101" t="s">
        <v>13</v>
      </c>
      <c r="C19" s="101">
        <v>40808.66</v>
      </c>
      <c r="D19" s="101">
        <v>43920.13</v>
      </c>
      <c r="E19" s="101">
        <v>76419.96</v>
      </c>
      <c r="F19" s="101">
        <v>61697.71</v>
      </c>
      <c r="G19" s="101">
        <v>60723.14</v>
      </c>
      <c r="H19" s="101">
        <f>64162.71+182.45</f>
        <v>64345.159999999996</v>
      </c>
      <c r="I19" s="101">
        <v>60545.81</v>
      </c>
      <c r="J19" s="101">
        <f>84793.04+1094.6</f>
        <v>85887.64</v>
      </c>
      <c r="K19" s="101">
        <v>65083.17</v>
      </c>
      <c r="L19" s="101">
        <v>68337.69</v>
      </c>
      <c r="M19" s="101">
        <v>69134.98</v>
      </c>
      <c r="N19" s="101">
        <v>66272.79</v>
      </c>
      <c r="O19" s="101">
        <f>C19+D19+E19+F19+G19+H19+I19+J19+K19+L19+M19+N19</f>
        <v>763176.8400000001</v>
      </c>
      <c r="Y19" s="103"/>
    </row>
    <row r="20" spans="2:25" s="102" customFormat="1" ht="12">
      <c r="B20" s="96" t="s">
        <v>38</v>
      </c>
      <c r="C20" s="101">
        <v>2131.61</v>
      </c>
      <c r="D20" s="101">
        <v>1880.98</v>
      </c>
      <c r="E20" s="101">
        <v>3308.93</v>
      </c>
      <c r="F20" s="101">
        <v>3094.16</v>
      </c>
      <c r="G20" s="101">
        <v>2843.45</v>
      </c>
      <c r="H20" s="101">
        <v>3069.62</v>
      </c>
      <c r="I20" s="101">
        <v>2797.15</v>
      </c>
      <c r="J20" s="101"/>
      <c r="K20" s="101"/>
      <c r="L20" s="101"/>
      <c r="M20" s="101"/>
      <c r="N20" s="101"/>
      <c r="O20" s="101">
        <f>C20+D20+E20+F20+G20+H20+I20+J20+K20+L20+M20+N20</f>
        <v>19125.9</v>
      </c>
      <c r="Y20" s="103"/>
    </row>
    <row r="21" spans="2:25" s="102" customFormat="1" ht="12">
      <c r="B21" s="99" t="s">
        <v>30</v>
      </c>
      <c r="C21" s="101">
        <v>2389.6</v>
      </c>
      <c r="D21" s="101">
        <v>2299.71</v>
      </c>
      <c r="E21" s="101">
        <v>3365.09</v>
      </c>
      <c r="F21" s="101">
        <v>3207.11</v>
      </c>
      <c r="G21" s="101">
        <v>3121.97</v>
      </c>
      <c r="H21" s="101">
        <v>3230.8</v>
      </c>
      <c r="I21" s="101">
        <v>2863.07</v>
      </c>
      <c r="J21" s="101"/>
      <c r="K21" s="101"/>
      <c r="L21" s="101"/>
      <c r="M21" s="101"/>
      <c r="N21" s="101"/>
      <c r="O21" s="101">
        <f>C21+D21+E21+F21+G21+H21+I21+J21+K21+L21+M21+N21</f>
        <v>20477.35</v>
      </c>
      <c r="Y21" s="103"/>
    </row>
    <row r="22" spans="2:15" s="103" customFormat="1" ht="12">
      <c r="B22" s="100" t="s">
        <v>16</v>
      </c>
      <c r="C22" s="100">
        <f aca="true" t="shared" si="2" ref="C22:O22">SUM(C19:C21)</f>
        <v>45329.87</v>
      </c>
      <c r="D22" s="100">
        <f t="shared" si="2"/>
        <v>48100.82</v>
      </c>
      <c r="E22" s="100">
        <f t="shared" si="2"/>
        <v>83093.98</v>
      </c>
      <c r="F22" s="100">
        <f t="shared" si="2"/>
        <v>67998.98</v>
      </c>
      <c r="G22" s="100">
        <f t="shared" si="2"/>
        <v>66688.56</v>
      </c>
      <c r="H22" s="100">
        <f t="shared" si="2"/>
        <v>70645.58</v>
      </c>
      <c r="I22" s="100">
        <f t="shared" si="2"/>
        <v>66206.03</v>
      </c>
      <c r="J22" s="100">
        <f t="shared" si="2"/>
        <v>85887.64</v>
      </c>
      <c r="K22" s="100">
        <f t="shared" si="2"/>
        <v>65083.17</v>
      </c>
      <c r="L22" s="100">
        <f t="shared" si="2"/>
        <v>68337.69</v>
      </c>
      <c r="M22" s="100">
        <f t="shared" si="2"/>
        <v>69134.98</v>
      </c>
      <c r="N22" s="100">
        <f t="shared" si="2"/>
        <v>66272.79</v>
      </c>
      <c r="O22" s="100">
        <f t="shared" si="2"/>
        <v>802780.0900000001</v>
      </c>
    </row>
    <row r="23" spans="2:15" ht="12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4"/>
    </row>
    <row r="24" spans="2:15" ht="12">
      <c r="B24" s="94" t="s">
        <v>19</v>
      </c>
      <c r="C24" s="104">
        <f aca="true" t="shared" si="3" ref="C24:O24">C22/C16</f>
        <v>0.6958942581573994</v>
      </c>
      <c r="D24" s="104">
        <f t="shared" si="3"/>
        <v>0.7384332770127643</v>
      </c>
      <c r="E24" s="104">
        <f t="shared" si="3"/>
        <v>1.2756406221647176</v>
      </c>
      <c r="F24" s="104">
        <f t="shared" si="3"/>
        <v>1.0439054809237227</v>
      </c>
      <c r="G24" s="104">
        <f t="shared" si="3"/>
        <v>1.0237881994540292</v>
      </c>
      <c r="H24" s="104">
        <f t="shared" si="3"/>
        <v>1.084535505753694</v>
      </c>
      <c r="I24" s="104">
        <f t="shared" si="3"/>
        <v>0.8892408965203223</v>
      </c>
      <c r="J24" s="104">
        <f t="shared" si="3"/>
        <v>1.1535928372931392</v>
      </c>
      <c r="K24" s="104">
        <f t="shared" si="3"/>
        <v>0.8741592939371919</v>
      </c>
      <c r="L24" s="104">
        <f t="shared" si="3"/>
        <v>0.9178721140918413</v>
      </c>
      <c r="M24" s="104">
        <f t="shared" si="3"/>
        <v>0.9285808497521231</v>
      </c>
      <c r="N24" s="104">
        <f t="shared" si="3"/>
        <v>0.8901375780197521</v>
      </c>
      <c r="O24" s="105">
        <f t="shared" si="3"/>
        <v>0.9584885483328522</v>
      </c>
    </row>
    <row r="25" spans="2:15" ht="12">
      <c r="B25" s="9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6"/>
    </row>
    <row r="26" spans="2:15" ht="12">
      <c r="B26" s="94" t="s">
        <v>20</v>
      </c>
      <c r="C26" s="107">
        <f aca="true" t="shared" si="4" ref="C26:O26">C16-C22</f>
        <v>19809.15</v>
      </c>
      <c r="D26" s="107">
        <f t="shared" si="4"/>
        <v>17038.200000000004</v>
      </c>
      <c r="E26" s="107">
        <f t="shared" si="4"/>
        <v>-17954.959999999992</v>
      </c>
      <c r="F26" s="107">
        <f t="shared" si="4"/>
        <v>-2859.959999999992</v>
      </c>
      <c r="G26" s="107">
        <f t="shared" si="4"/>
        <v>-1549.5399999999936</v>
      </c>
      <c r="H26" s="107">
        <f t="shared" si="4"/>
        <v>-5506.559999999998</v>
      </c>
      <c r="I26" s="107">
        <f t="shared" si="4"/>
        <v>8246.270000000004</v>
      </c>
      <c r="J26" s="107">
        <f t="shared" si="4"/>
        <v>-11435.339999999997</v>
      </c>
      <c r="K26" s="107">
        <f t="shared" si="4"/>
        <v>9369.130000000005</v>
      </c>
      <c r="L26" s="107">
        <f t="shared" si="4"/>
        <v>6114.610000000001</v>
      </c>
      <c r="M26" s="107">
        <f t="shared" si="4"/>
        <v>5317.320000000007</v>
      </c>
      <c r="N26" s="107">
        <f t="shared" si="4"/>
        <v>8179.510000000009</v>
      </c>
      <c r="O26" s="107">
        <f t="shared" si="4"/>
        <v>34767.83000000019</v>
      </c>
    </row>
    <row r="27" spans="2:15" ht="12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4"/>
    </row>
    <row r="28" spans="2:25" s="109" customFormat="1" ht="12">
      <c r="B28" s="108" t="s">
        <v>21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108"/>
      <c r="Y28" s="110"/>
    </row>
    <row r="29" spans="2:25" s="109" customFormat="1" ht="12">
      <c r="B29" s="99" t="s">
        <v>22</v>
      </c>
      <c r="C29" s="99">
        <v>235.86</v>
      </c>
      <c r="D29" s="99">
        <v>186.05</v>
      </c>
      <c r="E29" s="99">
        <v>463.54</v>
      </c>
      <c r="F29" s="99">
        <f>255.1+52.42</f>
        <v>307.52</v>
      </c>
      <c r="G29" s="99">
        <v>1688.1</v>
      </c>
      <c r="H29" s="99">
        <f>190.11+254.59</f>
        <v>444.70000000000005</v>
      </c>
      <c r="I29" s="99">
        <v>269.36</v>
      </c>
      <c r="J29" s="99">
        <v>296.84</v>
      </c>
      <c r="K29" s="99">
        <v>252.07</v>
      </c>
      <c r="L29" s="99">
        <v>393.29</v>
      </c>
      <c r="M29" s="99">
        <v>111.11</v>
      </c>
      <c r="N29" s="99">
        <v>291.76</v>
      </c>
      <c r="O29" s="99">
        <f>C29+D29+E29+F29+G29+H29+I29+J29+K29+L29+M29+N29</f>
        <v>4940.2</v>
      </c>
      <c r="Y29" s="110"/>
    </row>
    <row r="30" spans="2:25" s="109" customFormat="1" ht="12">
      <c r="B30" s="99" t="s">
        <v>185</v>
      </c>
      <c r="C30" s="99">
        <v>22262.55</v>
      </c>
      <c r="D30" s="99">
        <v>22262.55</v>
      </c>
      <c r="E30" s="99">
        <v>22262.55</v>
      </c>
      <c r="F30" s="99">
        <v>22262.55</v>
      </c>
      <c r="G30" s="99">
        <v>22262.55</v>
      </c>
      <c r="H30" s="99">
        <v>22262.55</v>
      </c>
      <c r="I30" s="99">
        <v>22262.55</v>
      </c>
      <c r="J30" s="99">
        <v>23004.38</v>
      </c>
      <c r="K30" s="99">
        <v>23431.86</v>
      </c>
      <c r="L30" s="99">
        <v>23431.86</v>
      </c>
      <c r="M30" s="99">
        <v>23431.86</v>
      </c>
      <c r="N30" s="99">
        <v>23431.86</v>
      </c>
      <c r="O30" s="99">
        <f aca="true" t="shared" si="5" ref="O30:O75">C30+D30+E30+F30+G30+H30+I30+J30+K30+L30+M30+N30</f>
        <v>272569.6699999999</v>
      </c>
      <c r="Y30" s="110"/>
    </row>
    <row r="31" spans="2:25" s="109" customFormat="1" ht="12">
      <c r="B31" s="99" t="s">
        <v>31</v>
      </c>
      <c r="C31" s="99">
        <f>3357+2760.49</f>
        <v>6117.49</v>
      </c>
      <c r="D31" s="99">
        <f>3357+5341.2</f>
        <v>8698.2</v>
      </c>
      <c r="E31" s="99">
        <f>3357+5186.46</f>
        <v>8543.46</v>
      </c>
      <c r="F31" s="99">
        <f>1925.03</f>
        <v>1925.03</v>
      </c>
      <c r="G31" s="99">
        <f>1925.03</f>
        <v>1925.03</v>
      </c>
      <c r="H31" s="99">
        <f>1925.03</f>
        <v>1925.03</v>
      </c>
      <c r="I31" s="99">
        <v>6514.91</v>
      </c>
      <c r="J31" s="99">
        <v>4982.55</v>
      </c>
      <c r="K31" s="99">
        <v>4982.55</v>
      </c>
      <c r="L31" s="99">
        <v>4982.55</v>
      </c>
      <c r="M31" s="99">
        <v>4982.55</v>
      </c>
      <c r="N31" s="99">
        <v>4982.55</v>
      </c>
      <c r="O31" s="99">
        <f>C31+D31+E31+F31+G31+H31+I31+J31+K31+L31+M31+N31+2545.92</f>
        <v>63107.82000000001</v>
      </c>
      <c r="Y31" s="110"/>
    </row>
    <row r="32" spans="2:25" s="109" customFormat="1" ht="12">
      <c r="B32" s="99" t="s">
        <v>32</v>
      </c>
      <c r="C32" s="99">
        <v>6257.53</v>
      </c>
      <c r="D32" s="99">
        <f>12477.5</f>
        <v>12477.5</v>
      </c>
      <c r="E32" s="99">
        <f>6173.97+6303.54</f>
        <v>12477.51</v>
      </c>
      <c r="F32" s="99">
        <f>6822.28+5445.74</f>
        <v>12268.02</v>
      </c>
      <c r="G32" s="99">
        <f>6786.6+5445.74</f>
        <v>12232.34</v>
      </c>
      <c r="H32" s="99">
        <f>6110.22+6157.77</f>
        <v>12267.990000000002</v>
      </c>
      <c r="I32" s="99">
        <v>12267.99</v>
      </c>
      <c r="J32" s="99">
        <f>8910.74</f>
        <v>8910.74</v>
      </c>
      <c r="K32" s="99">
        <f>3357.26+5346.44+6921.55</f>
        <v>15625.25</v>
      </c>
      <c r="L32" s="99">
        <f>8910.74+3357.26</f>
        <v>12268</v>
      </c>
      <c r="M32" s="99">
        <v>7176.14</v>
      </c>
      <c r="N32" s="99">
        <f>6364.81+5091.85+5903.18</f>
        <v>17359.84</v>
      </c>
      <c r="O32" s="99">
        <f t="shared" si="5"/>
        <v>141588.85</v>
      </c>
      <c r="Y32" s="110"/>
    </row>
    <row r="33" spans="2:25" s="109" customFormat="1" ht="12">
      <c r="B33" s="99" t="s">
        <v>26</v>
      </c>
      <c r="C33" s="99"/>
      <c r="D33" s="99">
        <v>790.45</v>
      </c>
      <c r="E33" s="99">
        <v>790.45</v>
      </c>
      <c r="F33" s="99">
        <v>3005.3</v>
      </c>
      <c r="G33" s="99">
        <v>790.45</v>
      </c>
      <c r="H33" s="99">
        <v>790.45</v>
      </c>
      <c r="I33" s="99">
        <v>790.45</v>
      </c>
      <c r="J33" s="99">
        <v>1212.04</v>
      </c>
      <c r="K33" s="99">
        <f>421.59+11422.16</f>
        <v>11843.75</v>
      </c>
      <c r="L33" s="99">
        <v>421.59</v>
      </c>
      <c r="M33" s="99">
        <f>421.59+4285.17</f>
        <v>4706.76</v>
      </c>
      <c r="N33" s="99">
        <v>421.59</v>
      </c>
      <c r="O33" s="99">
        <f t="shared" si="5"/>
        <v>25563.280000000002</v>
      </c>
      <c r="Y33" s="110"/>
    </row>
    <row r="34" spans="2:25" s="109" customFormat="1" ht="12">
      <c r="B34" s="111" t="s">
        <v>33</v>
      </c>
      <c r="C34" s="99">
        <v>73.6</v>
      </c>
      <c r="D34" s="99">
        <v>73.6</v>
      </c>
      <c r="E34" s="99">
        <v>73.6</v>
      </c>
      <c r="F34" s="99">
        <v>73.6</v>
      </c>
      <c r="G34" s="99">
        <v>73.6</v>
      </c>
      <c r="H34" s="99">
        <v>73.6</v>
      </c>
      <c r="I34" s="99">
        <v>73.6</v>
      </c>
      <c r="J34" s="99">
        <v>73.6</v>
      </c>
      <c r="K34" s="99">
        <v>73.6</v>
      </c>
      <c r="L34" s="99">
        <v>73.6</v>
      </c>
      <c r="M34" s="99">
        <v>73.6</v>
      </c>
      <c r="N34" s="99">
        <v>73.6</v>
      </c>
      <c r="O34" s="99">
        <f t="shared" si="5"/>
        <v>883.2000000000002</v>
      </c>
      <c r="Y34" s="110"/>
    </row>
    <row r="35" spans="2:25" s="109" customFormat="1" ht="12">
      <c r="B35" s="99" t="s">
        <v>34</v>
      </c>
      <c r="C35" s="99">
        <f>2500</f>
        <v>2500</v>
      </c>
      <c r="D35" s="99">
        <f>4500</f>
        <v>4500</v>
      </c>
      <c r="E35" s="99">
        <v>4500</v>
      </c>
      <c r="F35" s="99">
        <v>4500</v>
      </c>
      <c r="G35" s="99">
        <v>4500</v>
      </c>
      <c r="H35" s="99">
        <v>4500</v>
      </c>
      <c r="I35" s="99"/>
      <c r="J35" s="99"/>
      <c r="K35" s="99"/>
      <c r="L35" s="99">
        <v>4500</v>
      </c>
      <c r="M35" s="99">
        <v>2250</v>
      </c>
      <c r="N35" s="99">
        <f>2250+1500</f>
        <v>3750</v>
      </c>
      <c r="O35" s="99">
        <f t="shared" si="5"/>
        <v>35500</v>
      </c>
      <c r="Y35" s="110"/>
    </row>
    <row r="36" spans="2:25" s="109" customFormat="1" ht="12">
      <c r="B36" s="99" t="s">
        <v>30</v>
      </c>
      <c r="C36" s="99"/>
      <c r="D36" s="99"/>
      <c r="E36" s="99"/>
      <c r="F36" s="99">
        <v>9000</v>
      </c>
      <c r="G36" s="99"/>
      <c r="H36" s="99"/>
      <c r="I36" s="99">
        <v>9000</v>
      </c>
      <c r="J36" s="99">
        <v>3000</v>
      </c>
      <c r="K36" s="99">
        <v>3000</v>
      </c>
      <c r="L36" s="99"/>
      <c r="M36" s="99">
        <v>6000</v>
      </c>
      <c r="N36" s="99"/>
      <c r="O36" s="99">
        <f t="shared" si="5"/>
        <v>30000</v>
      </c>
      <c r="Y36" s="110"/>
    </row>
    <row r="37" spans="2:25" s="109" customFormat="1" ht="12">
      <c r="B37" s="99" t="s">
        <v>36</v>
      </c>
      <c r="C37" s="99">
        <v>4258.56</v>
      </c>
      <c r="D37" s="99">
        <v>4258.56</v>
      </c>
      <c r="E37" s="99">
        <v>4258.56</v>
      </c>
      <c r="F37" s="99">
        <v>4258.56</v>
      </c>
      <c r="G37" s="99">
        <v>4258.56</v>
      </c>
      <c r="H37" s="99">
        <v>2509.12</v>
      </c>
      <c r="I37" s="99">
        <f>5067.22+1857.4</f>
        <v>6924.620000000001</v>
      </c>
      <c r="J37" s="99">
        <f>2832.54+1699.41</f>
        <v>4531.95</v>
      </c>
      <c r="K37" s="99">
        <f>2808.39+1723.56</f>
        <v>4531.95</v>
      </c>
      <c r="L37" s="99">
        <f>3062.24+1469.71</f>
        <v>4531.95</v>
      </c>
      <c r="M37" s="99">
        <f>2970.4+1561.55</f>
        <v>4531.95</v>
      </c>
      <c r="N37" s="99">
        <f>3159.17+1372.78</f>
        <v>4531.95</v>
      </c>
      <c r="O37" s="99">
        <f t="shared" si="5"/>
        <v>53386.289999999986</v>
      </c>
      <c r="Y37" s="110"/>
    </row>
    <row r="38" spans="2:25" s="109" customFormat="1" ht="12">
      <c r="B38" s="99" t="s">
        <v>35</v>
      </c>
      <c r="C38" s="99">
        <v>972.43</v>
      </c>
      <c r="D38" s="99">
        <v>972.43</v>
      </c>
      <c r="E38" s="99">
        <v>972.43</v>
      </c>
      <c r="F38" s="99">
        <v>972.43</v>
      </c>
      <c r="G38" s="99">
        <v>972.43</v>
      </c>
      <c r="H38" s="99">
        <v>972.43</v>
      </c>
      <c r="I38" s="99">
        <v>1174.95</v>
      </c>
      <c r="J38" s="99">
        <v>1174.95</v>
      </c>
      <c r="K38" s="99">
        <v>1174.95</v>
      </c>
      <c r="L38" s="99">
        <v>1174.95</v>
      </c>
      <c r="M38" s="99">
        <v>1174.95</v>
      </c>
      <c r="N38" s="99">
        <v>1174.95</v>
      </c>
      <c r="O38" s="99">
        <f t="shared" si="5"/>
        <v>12884.280000000002</v>
      </c>
      <c r="Y38" s="110"/>
    </row>
    <row r="39" spans="2:25" s="109" customFormat="1" ht="12">
      <c r="B39" s="99" t="s">
        <v>29</v>
      </c>
      <c r="C39" s="99">
        <v>97.67</v>
      </c>
      <c r="D39" s="99">
        <v>282.98</v>
      </c>
      <c r="E39" s="99">
        <v>83.29</v>
      </c>
      <c r="F39" s="99">
        <v>165.21</v>
      </c>
      <c r="G39" s="99"/>
      <c r="H39" s="99">
        <v>100.59</v>
      </c>
      <c r="I39" s="99">
        <v>100.59</v>
      </c>
      <c r="J39" s="99">
        <v>346.61</v>
      </c>
      <c r="K39" s="99">
        <v>159.41</v>
      </c>
      <c r="L39" s="99">
        <v>178.82</v>
      </c>
      <c r="M39" s="99">
        <v>178.82</v>
      </c>
      <c r="N39" s="99">
        <v>101.91</v>
      </c>
      <c r="O39" s="99">
        <f t="shared" si="5"/>
        <v>1795.9</v>
      </c>
      <c r="Y39" s="110"/>
    </row>
    <row r="40" spans="2:25" s="109" customFormat="1" ht="12">
      <c r="B40" s="99" t="s">
        <v>39</v>
      </c>
      <c r="C40" s="99">
        <v>3478.25</v>
      </c>
      <c r="D40" s="99">
        <v>3478.25</v>
      </c>
      <c r="E40" s="99">
        <v>3478.25</v>
      </c>
      <c r="F40" s="99">
        <v>3478.25</v>
      </c>
      <c r="G40" s="99">
        <v>3478.25</v>
      </c>
      <c r="H40" s="99">
        <v>3478.25</v>
      </c>
      <c r="I40" s="99">
        <v>3478.25</v>
      </c>
      <c r="J40" s="99">
        <v>3478.25</v>
      </c>
      <c r="K40" s="99">
        <v>3478.25</v>
      </c>
      <c r="L40" s="99">
        <v>3463.31</v>
      </c>
      <c r="M40" s="99">
        <v>3463.31</v>
      </c>
      <c r="N40" s="99">
        <v>3463.31</v>
      </c>
      <c r="O40" s="99">
        <f t="shared" si="5"/>
        <v>41694.17999999999</v>
      </c>
      <c r="Y40" s="110"/>
    </row>
    <row r="41" spans="2:25" s="109" customFormat="1" ht="12">
      <c r="B41" s="99" t="s">
        <v>40</v>
      </c>
      <c r="C41" s="99"/>
      <c r="D41" s="99"/>
      <c r="E41" s="99"/>
      <c r="F41" s="99"/>
      <c r="G41" s="99"/>
      <c r="H41" s="99">
        <v>1486.22</v>
      </c>
      <c r="I41" s="99">
        <v>1486.22</v>
      </c>
      <c r="J41" s="99">
        <v>1486.22</v>
      </c>
      <c r="K41" s="99"/>
      <c r="L41" s="99"/>
      <c r="M41" s="99"/>
      <c r="N41" s="99"/>
      <c r="O41" s="99">
        <f t="shared" si="5"/>
        <v>4458.66</v>
      </c>
      <c r="Y41" s="110"/>
    </row>
    <row r="42" spans="2:25" s="109" customFormat="1" ht="12">
      <c r="B42" s="99" t="s">
        <v>41</v>
      </c>
      <c r="C42" s="99"/>
      <c r="D42" s="99"/>
      <c r="E42" s="99"/>
      <c r="F42" s="99"/>
      <c r="G42" s="99">
        <v>25177.5</v>
      </c>
      <c r="H42" s="99">
        <v>30</v>
      </c>
      <c r="I42" s="99"/>
      <c r="J42" s="99"/>
      <c r="K42" s="99"/>
      <c r="L42" s="99"/>
      <c r="M42" s="99"/>
      <c r="N42" s="99"/>
      <c r="O42" s="99">
        <f t="shared" si="5"/>
        <v>25207.5</v>
      </c>
      <c r="Y42" s="110"/>
    </row>
    <row r="43" spans="2:25" s="109" customFormat="1" ht="12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Y43" s="110"/>
    </row>
    <row r="44" spans="2:25" s="109" customFormat="1" ht="12">
      <c r="B44" s="108" t="s">
        <v>42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Y44" s="110"/>
    </row>
    <row r="45" spans="2:25" s="109" customFormat="1" ht="12">
      <c r="B45" s="10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Y45" s="110"/>
    </row>
    <row r="46" spans="2:25" s="109" customFormat="1" ht="12">
      <c r="B46" s="99" t="s">
        <v>45</v>
      </c>
      <c r="C46" s="99">
        <v>323.41</v>
      </c>
      <c r="D46" s="99">
        <v>323.41</v>
      </c>
      <c r="E46" s="99">
        <v>323.41</v>
      </c>
      <c r="F46" s="99">
        <v>323.41</v>
      </c>
      <c r="G46" s="99">
        <v>323.41</v>
      </c>
      <c r="H46" s="99">
        <v>323.41</v>
      </c>
      <c r="I46" s="99">
        <v>323.41</v>
      </c>
      <c r="J46" s="99">
        <v>323.41</v>
      </c>
      <c r="K46" s="99">
        <v>323.41</v>
      </c>
      <c r="L46" s="99">
        <v>323.41</v>
      </c>
      <c r="M46" s="99">
        <v>323.41</v>
      </c>
      <c r="N46" s="99">
        <v>323.41</v>
      </c>
      <c r="O46" s="99">
        <f t="shared" si="5"/>
        <v>3880.9199999999996</v>
      </c>
      <c r="Y46" s="110"/>
    </row>
    <row r="47" spans="2:25" s="109" customFormat="1" ht="12">
      <c r="B47" s="99" t="s">
        <v>126</v>
      </c>
      <c r="C47" s="99">
        <v>239.25</v>
      </c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>
        <f t="shared" si="5"/>
        <v>239.25</v>
      </c>
      <c r="Y47" s="110"/>
    </row>
    <row r="48" spans="2:25" s="109" customFormat="1" ht="12">
      <c r="B48" s="99" t="s">
        <v>46</v>
      </c>
      <c r="C48" s="99"/>
      <c r="D48" s="99">
        <f>1136.41+58.82</f>
        <v>1195.23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>
        <f t="shared" si="5"/>
        <v>1195.23</v>
      </c>
      <c r="Y48" s="110"/>
    </row>
    <row r="49" spans="2:25" s="109" customFormat="1" ht="12">
      <c r="B49" s="99" t="s">
        <v>47</v>
      </c>
      <c r="C49" s="99"/>
      <c r="D49" s="99">
        <v>117.65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>
        <f t="shared" si="5"/>
        <v>117.65</v>
      </c>
      <c r="Y49" s="110"/>
    </row>
    <row r="50" spans="2:25" s="109" customFormat="1" ht="12">
      <c r="B50" s="99" t="s">
        <v>48</v>
      </c>
      <c r="C50" s="99"/>
      <c r="D50" s="99"/>
      <c r="E50" s="99">
        <v>17.65</v>
      </c>
      <c r="F50" s="99"/>
      <c r="G50" s="99"/>
      <c r="H50" s="99"/>
      <c r="I50" s="99"/>
      <c r="J50" s="99"/>
      <c r="K50" s="99"/>
      <c r="L50" s="99"/>
      <c r="M50" s="99"/>
      <c r="N50" s="99"/>
      <c r="O50" s="99">
        <f t="shared" si="5"/>
        <v>17.65</v>
      </c>
      <c r="Y50" s="110"/>
    </row>
    <row r="51" spans="2:25" s="109" customFormat="1" ht="12">
      <c r="B51" s="99" t="s">
        <v>50</v>
      </c>
      <c r="C51" s="99"/>
      <c r="D51" s="99"/>
      <c r="E51" s="112">
        <v>126.47</v>
      </c>
      <c r="F51" s="99"/>
      <c r="G51" s="99">
        <v>815</v>
      </c>
      <c r="H51" s="99">
        <v>735</v>
      </c>
      <c r="I51" s="99"/>
      <c r="J51" s="99">
        <v>2610.77</v>
      </c>
      <c r="K51" s="99"/>
      <c r="L51" s="99">
        <v>65</v>
      </c>
      <c r="M51" s="99"/>
      <c r="N51" s="99"/>
      <c r="O51" s="99">
        <f t="shared" si="5"/>
        <v>4352.24</v>
      </c>
      <c r="Y51" s="110"/>
    </row>
    <row r="52" spans="2:25" s="109" customFormat="1" ht="12">
      <c r="B52" s="99" t="s">
        <v>79</v>
      </c>
      <c r="C52" s="99">
        <v>2067.21</v>
      </c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>
        <f t="shared" si="5"/>
        <v>2067.21</v>
      </c>
      <c r="Y52" s="110"/>
    </row>
    <row r="53" spans="2:25" s="109" customFormat="1" ht="12">
      <c r="B53" s="99" t="s">
        <v>51</v>
      </c>
      <c r="C53" s="99"/>
      <c r="D53" s="99"/>
      <c r="E53" s="99"/>
      <c r="F53" s="99"/>
      <c r="G53" s="99">
        <v>405.71</v>
      </c>
      <c r="H53" s="99">
        <f>116.92+58.46</f>
        <v>175.38</v>
      </c>
      <c r="I53" s="99">
        <v>225.91</v>
      </c>
      <c r="J53" s="99"/>
      <c r="K53" s="99"/>
      <c r="L53" s="99"/>
      <c r="M53" s="99"/>
      <c r="N53" s="99"/>
      <c r="O53" s="99">
        <f t="shared" si="5"/>
        <v>806.9999999999999</v>
      </c>
      <c r="Y53" s="110"/>
    </row>
    <row r="54" spans="2:25" s="109" customFormat="1" ht="12">
      <c r="B54" s="99" t="s">
        <v>80</v>
      </c>
      <c r="C54" s="99"/>
      <c r="D54" s="99">
        <v>750</v>
      </c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>
        <f t="shared" si="5"/>
        <v>750</v>
      </c>
      <c r="Y54" s="110"/>
    </row>
    <row r="55" spans="2:25" s="109" customFormat="1" ht="12">
      <c r="B55" s="99" t="s">
        <v>81</v>
      </c>
      <c r="C55" s="99"/>
      <c r="D55" s="99"/>
      <c r="E55" s="99">
        <v>1000</v>
      </c>
      <c r="F55" s="99"/>
      <c r="G55" s="99"/>
      <c r="H55" s="99"/>
      <c r="I55" s="99"/>
      <c r="J55" s="99"/>
      <c r="K55" s="99"/>
      <c r="L55" s="99"/>
      <c r="M55" s="99"/>
      <c r="N55" s="99"/>
      <c r="O55" s="99">
        <f t="shared" si="5"/>
        <v>1000</v>
      </c>
      <c r="Y55" s="110"/>
    </row>
    <row r="56" spans="2:25" s="109" customFormat="1" ht="12">
      <c r="B56" s="99" t="s">
        <v>49</v>
      </c>
      <c r="C56" s="99"/>
      <c r="D56" s="99"/>
      <c r="E56" s="99"/>
      <c r="F56" s="99">
        <v>1550</v>
      </c>
      <c r="G56" s="99"/>
      <c r="H56" s="99"/>
      <c r="I56" s="99"/>
      <c r="J56" s="99"/>
      <c r="K56" s="99"/>
      <c r="L56" s="99"/>
      <c r="M56" s="99"/>
      <c r="N56" s="99"/>
      <c r="O56" s="99">
        <f t="shared" si="5"/>
        <v>1550</v>
      </c>
      <c r="Y56" s="110"/>
    </row>
    <row r="57" spans="2:25" s="109" customFormat="1" ht="12">
      <c r="B57" s="99" t="s">
        <v>82</v>
      </c>
      <c r="C57" s="99"/>
      <c r="D57" s="99"/>
      <c r="E57" s="99"/>
      <c r="F57" s="99">
        <v>1450</v>
      </c>
      <c r="G57" s="99"/>
      <c r="H57" s="99"/>
      <c r="I57" s="99"/>
      <c r="J57" s="99"/>
      <c r="K57" s="99"/>
      <c r="L57" s="99"/>
      <c r="M57" s="99"/>
      <c r="N57" s="99"/>
      <c r="O57" s="99">
        <f t="shared" si="5"/>
        <v>1450</v>
      </c>
      <c r="Y57" s="110"/>
    </row>
    <row r="58" spans="2:25" s="109" customFormat="1" ht="12">
      <c r="B58" s="99" t="s">
        <v>83</v>
      </c>
      <c r="C58" s="99"/>
      <c r="D58" s="99"/>
      <c r="E58" s="99"/>
      <c r="F58" s="99">
        <v>140</v>
      </c>
      <c r="G58" s="99">
        <v>14</v>
      </c>
      <c r="H58" s="99"/>
      <c r="I58" s="99"/>
      <c r="J58" s="99"/>
      <c r="K58" s="99"/>
      <c r="L58" s="99"/>
      <c r="M58" s="99"/>
      <c r="N58" s="99"/>
      <c r="O58" s="99">
        <f t="shared" si="5"/>
        <v>154</v>
      </c>
      <c r="Y58" s="110"/>
    </row>
    <row r="59" spans="2:25" s="109" customFormat="1" ht="12">
      <c r="B59" s="99" t="s">
        <v>123</v>
      </c>
      <c r="C59" s="99"/>
      <c r="D59" s="99"/>
      <c r="E59" s="99"/>
      <c r="F59" s="99"/>
      <c r="G59" s="99"/>
      <c r="H59" s="99">
        <v>182.45</v>
      </c>
      <c r="I59" s="99"/>
      <c r="J59" s="99">
        <v>1094.6</v>
      </c>
      <c r="K59" s="99"/>
      <c r="L59" s="99"/>
      <c r="M59" s="99"/>
      <c r="N59" s="99"/>
      <c r="O59" s="99">
        <f t="shared" si="5"/>
        <v>1277.05</v>
      </c>
      <c r="Y59" s="110"/>
    </row>
    <row r="60" spans="2:25" s="109" customFormat="1" ht="12">
      <c r="B60" s="99" t="s">
        <v>130</v>
      </c>
      <c r="C60" s="99"/>
      <c r="D60" s="99"/>
      <c r="E60" s="99"/>
      <c r="F60" s="99"/>
      <c r="G60" s="99"/>
      <c r="H60" s="99"/>
      <c r="I60" s="99">
        <v>161.76</v>
      </c>
      <c r="J60" s="99"/>
      <c r="K60" s="99"/>
      <c r="L60" s="99"/>
      <c r="M60" s="99"/>
      <c r="N60" s="99"/>
      <c r="O60" s="99">
        <f t="shared" si="5"/>
        <v>161.76</v>
      </c>
      <c r="Y60" s="110"/>
    </row>
    <row r="61" spans="2:25" s="109" customFormat="1" ht="12">
      <c r="B61" s="99" t="s">
        <v>134</v>
      </c>
      <c r="C61" s="99"/>
      <c r="D61" s="99"/>
      <c r="E61" s="99"/>
      <c r="F61" s="99"/>
      <c r="G61" s="99"/>
      <c r="H61" s="99"/>
      <c r="I61" s="99">
        <v>93.51</v>
      </c>
      <c r="J61" s="99"/>
      <c r="K61" s="99"/>
      <c r="L61" s="99">
        <v>30.35</v>
      </c>
      <c r="M61" s="99"/>
      <c r="N61" s="99"/>
      <c r="O61" s="99">
        <f t="shared" si="5"/>
        <v>123.86000000000001</v>
      </c>
      <c r="Y61" s="110"/>
    </row>
    <row r="62" spans="2:25" s="109" customFormat="1" ht="12">
      <c r="B62" s="111" t="s">
        <v>139</v>
      </c>
      <c r="C62" s="99"/>
      <c r="D62" s="99"/>
      <c r="E62" s="99"/>
      <c r="F62" s="99"/>
      <c r="G62" s="99"/>
      <c r="H62" s="99"/>
      <c r="I62" s="99"/>
      <c r="J62" s="99">
        <v>57.28</v>
      </c>
      <c r="K62" s="99"/>
      <c r="L62" s="99"/>
      <c r="M62" s="99"/>
      <c r="N62" s="99"/>
      <c r="O62" s="99">
        <f t="shared" si="5"/>
        <v>57.28</v>
      </c>
      <c r="Y62" s="110"/>
    </row>
    <row r="63" spans="2:25" s="109" customFormat="1" ht="12">
      <c r="B63" s="99" t="s">
        <v>193</v>
      </c>
      <c r="C63" s="99"/>
      <c r="D63" s="99"/>
      <c r="E63" s="99"/>
      <c r="F63" s="99"/>
      <c r="G63" s="99"/>
      <c r="H63" s="99"/>
      <c r="I63" s="99"/>
      <c r="J63" s="99">
        <v>381.89</v>
      </c>
      <c r="K63" s="99"/>
      <c r="L63" s="99">
        <v>426.15</v>
      </c>
      <c r="M63" s="99">
        <v>426.15</v>
      </c>
      <c r="N63" s="99">
        <v>568.21</v>
      </c>
      <c r="O63" s="99">
        <f t="shared" si="5"/>
        <v>1802.4</v>
      </c>
      <c r="Y63" s="110"/>
    </row>
    <row r="64" spans="2:25" s="109" customFormat="1" ht="12">
      <c r="B64" s="99" t="s">
        <v>156</v>
      </c>
      <c r="C64" s="99"/>
      <c r="D64" s="99"/>
      <c r="E64" s="99"/>
      <c r="F64" s="99"/>
      <c r="G64" s="99"/>
      <c r="H64" s="99"/>
      <c r="I64" s="99"/>
      <c r="J64" s="99">
        <v>49.65</v>
      </c>
      <c r="K64" s="99"/>
      <c r="L64" s="99"/>
      <c r="M64" s="99"/>
      <c r="N64" s="99"/>
      <c r="O64" s="99">
        <f t="shared" si="5"/>
        <v>49.65</v>
      </c>
      <c r="Y64" s="110"/>
    </row>
    <row r="65" spans="2:25" s="109" customFormat="1" ht="12">
      <c r="B65" s="99" t="s">
        <v>157</v>
      </c>
      <c r="C65" s="99"/>
      <c r="D65" s="99"/>
      <c r="E65" s="99"/>
      <c r="F65" s="99"/>
      <c r="G65" s="99"/>
      <c r="H65" s="99"/>
      <c r="I65" s="99"/>
      <c r="J65" s="99"/>
      <c r="K65" s="99">
        <v>160.75</v>
      </c>
      <c r="L65" s="99"/>
      <c r="M65" s="99"/>
      <c r="N65" s="99"/>
      <c r="O65" s="99">
        <f t="shared" si="5"/>
        <v>160.75</v>
      </c>
      <c r="Y65" s="110"/>
    </row>
    <row r="66" spans="2:25" s="109" customFormat="1" ht="12">
      <c r="B66" s="99" t="s">
        <v>158</v>
      </c>
      <c r="C66" s="99"/>
      <c r="D66" s="99"/>
      <c r="E66" s="99"/>
      <c r="F66" s="99"/>
      <c r="G66" s="99"/>
      <c r="H66" s="99"/>
      <c r="I66" s="99"/>
      <c r="J66" s="99"/>
      <c r="K66" s="99">
        <v>18628.75</v>
      </c>
      <c r="L66" s="99"/>
      <c r="M66" s="99"/>
      <c r="N66" s="99"/>
      <c r="O66" s="99">
        <f t="shared" si="5"/>
        <v>18628.75</v>
      </c>
      <c r="Y66" s="110"/>
    </row>
    <row r="67" spans="2:25" s="109" customFormat="1" ht="12">
      <c r="B67" s="99" t="s">
        <v>159</v>
      </c>
      <c r="C67" s="99"/>
      <c r="D67" s="99"/>
      <c r="E67" s="99"/>
      <c r="F67" s="99"/>
      <c r="G67" s="99"/>
      <c r="H67" s="99"/>
      <c r="I67" s="99"/>
      <c r="J67" s="99"/>
      <c r="K67" s="99">
        <v>17.5</v>
      </c>
      <c r="L67" s="99"/>
      <c r="M67" s="99"/>
      <c r="N67" s="99"/>
      <c r="O67" s="99">
        <f t="shared" si="5"/>
        <v>17.5</v>
      </c>
      <c r="Y67" s="110"/>
    </row>
    <row r="68" spans="2:25" s="109" customFormat="1" ht="12">
      <c r="B68" s="99" t="s">
        <v>186</v>
      </c>
      <c r="C68" s="99"/>
      <c r="D68" s="99"/>
      <c r="E68" s="99"/>
      <c r="F68" s="99"/>
      <c r="G68" s="99"/>
      <c r="H68" s="99"/>
      <c r="I68" s="99"/>
      <c r="J68" s="99">
        <v>2000</v>
      </c>
      <c r="K68" s="99"/>
      <c r="L68" s="99"/>
      <c r="M68" s="99"/>
      <c r="N68" s="99"/>
      <c r="O68" s="99">
        <f t="shared" si="5"/>
        <v>2000</v>
      </c>
      <c r="Y68" s="110"/>
    </row>
    <row r="69" spans="2:25" s="109" customFormat="1" ht="12">
      <c r="B69" s="99" t="s">
        <v>187</v>
      </c>
      <c r="C69" s="99"/>
      <c r="D69" s="99"/>
      <c r="E69" s="99"/>
      <c r="F69" s="99"/>
      <c r="G69" s="99"/>
      <c r="H69" s="99"/>
      <c r="I69" s="99"/>
      <c r="J69" s="99"/>
      <c r="K69" s="99"/>
      <c r="L69" s="99">
        <v>5000</v>
      </c>
      <c r="M69" s="99"/>
      <c r="N69" s="99"/>
      <c r="O69" s="99">
        <f t="shared" si="5"/>
        <v>5000</v>
      </c>
      <c r="Y69" s="110"/>
    </row>
    <row r="70" spans="2:25" s="109" customFormat="1" ht="12">
      <c r="B70" s="99" t="s">
        <v>188</v>
      </c>
      <c r="C70" s="99"/>
      <c r="D70" s="99"/>
      <c r="E70" s="99"/>
      <c r="F70" s="99"/>
      <c r="G70" s="99"/>
      <c r="H70" s="99"/>
      <c r="I70" s="99"/>
      <c r="J70" s="99"/>
      <c r="K70" s="99"/>
      <c r="L70" s="99">
        <v>16962</v>
      </c>
      <c r="M70" s="99"/>
      <c r="N70" s="99"/>
      <c r="O70" s="99">
        <f t="shared" si="5"/>
        <v>16962</v>
      </c>
      <c r="Y70" s="110"/>
    </row>
    <row r="71" spans="2:25" s="109" customFormat="1" ht="12">
      <c r="B71" s="99" t="s">
        <v>189</v>
      </c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>
        <v>525.59</v>
      </c>
      <c r="N71" s="99"/>
      <c r="O71" s="99">
        <f t="shared" si="5"/>
        <v>525.59</v>
      </c>
      <c r="Y71" s="110"/>
    </row>
    <row r="72" spans="2:25" s="109" customFormat="1" ht="12">
      <c r="B72" s="99" t="s">
        <v>190</v>
      </c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>
        <v>25590</v>
      </c>
      <c r="N72" s="99"/>
      <c r="O72" s="99">
        <f t="shared" si="5"/>
        <v>25590</v>
      </c>
      <c r="Y72" s="110"/>
    </row>
    <row r="73" spans="2:25" s="109" customFormat="1" ht="12">
      <c r="B73" s="99" t="s">
        <v>191</v>
      </c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>
        <v>10.31</v>
      </c>
      <c r="N73" s="99"/>
      <c r="O73" s="99">
        <f t="shared" si="5"/>
        <v>10.31</v>
      </c>
      <c r="Y73" s="110"/>
    </row>
    <row r="74" spans="2:25" s="109" customFormat="1" ht="12">
      <c r="B74" s="99" t="s">
        <v>192</v>
      </c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>
        <v>127.3</v>
      </c>
      <c r="O74" s="99">
        <f t="shared" si="5"/>
        <v>127.3</v>
      </c>
      <c r="Y74" s="110"/>
    </row>
    <row r="75" spans="2:25" s="109" customFormat="1" ht="12"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>
        <f t="shared" si="5"/>
        <v>0</v>
      </c>
      <c r="Y75" s="110"/>
    </row>
    <row r="76" spans="2:25" s="109" customFormat="1" ht="12">
      <c r="B76" s="108" t="s">
        <v>16</v>
      </c>
      <c r="C76" s="108">
        <f aca="true" t="shared" si="6" ref="C76:O76">SUM(C29:C75)</f>
        <v>48883.81</v>
      </c>
      <c r="D76" s="108">
        <f t="shared" si="6"/>
        <v>60366.86000000001</v>
      </c>
      <c r="E76" s="108">
        <f t="shared" si="6"/>
        <v>59371.17</v>
      </c>
      <c r="F76" s="108">
        <f t="shared" si="6"/>
        <v>65679.88</v>
      </c>
      <c r="G76" s="108">
        <f t="shared" si="6"/>
        <v>78916.93000000001</v>
      </c>
      <c r="H76" s="108">
        <f t="shared" si="6"/>
        <v>52257.17</v>
      </c>
      <c r="I76" s="108">
        <f t="shared" si="6"/>
        <v>65148.08</v>
      </c>
      <c r="J76" s="108">
        <f t="shared" si="6"/>
        <v>59015.729999999996</v>
      </c>
      <c r="K76" s="108">
        <f t="shared" si="6"/>
        <v>87684.04999999999</v>
      </c>
      <c r="L76" s="108">
        <f t="shared" si="6"/>
        <v>78226.82999999999</v>
      </c>
      <c r="M76" s="108">
        <f t="shared" si="6"/>
        <v>84956.51</v>
      </c>
      <c r="N76" s="108">
        <f t="shared" si="6"/>
        <v>60602.23999999999</v>
      </c>
      <c r="O76" s="108">
        <f t="shared" si="6"/>
        <v>803655.1800000004</v>
      </c>
      <c r="Y76" s="110"/>
    </row>
    <row r="78" spans="2:15" ht="12">
      <c r="B78" s="113" t="s">
        <v>147</v>
      </c>
      <c r="C78" s="114">
        <f aca="true" t="shared" si="7" ref="C78:O78">C10+C22-C76</f>
        <v>40725.04000000001</v>
      </c>
      <c r="D78" s="114">
        <f t="shared" si="7"/>
        <v>28459.000000000007</v>
      </c>
      <c r="E78" s="114">
        <f t="shared" si="7"/>
        <v>52181.81000000001</v>
      </c>
      <c r="F78" s="114">
        <f t="shared" si="7"/>
        <v>54500.91</v>
      </c>
      <c r="G78" s="114">
        <f t="shared" si="7"/>
        <v>42272.53999999999</v>
      </c>
      <c r="H78" s="114">
        <f t="shared" si="7"/>
        <v>60660.95</v>
      </c>
      <c r="I78" s="114">
        <f t="shared" si="7"/>
        <v>61718.899999999994</v>
      </c>
      <c r="J78" s="114">
        <f t="shared" si="7"/>
        <v>88590.80999999998</v>
      </c>
      <c r="K78" s="114">
        <f t="shared" si="7"/>
        <v>65989.93</v>
      </c>
      <c r="L78" s="114">
        <f t="shared" si="7"/>
        <v>56100.79000000001</v>
      </c>
      <c r="M78" s="114">
        <f t="shared" si="7"/>
        <v>40279.26000000001</v>
      </c>
      <c r="N78" s="114">
        <f t="shared" si="7"/>
        <v>45949.81000000001</v>
      </c>
      <c r="O78" s="115">
        <f t="shared" si="7"/>
        <v>43403.889999999665</v>
      </c>
    </row>
    <row r="79" spans="2:15" ht="12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9"/>
    </row>
    <row r="80" spans="2:15" ht="12" hidden="1">
      <c r="B80" s="116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9"/>
    </row>
    <row r="81" ht="12">
      <c r="B81" s="86" t="s">
        <v>24</v>
      </c>
    </row>
    <row r="82" ht="12">
      <c r="B82" s="86" t="s">
        <v>25</v>
      </c>
    </row>
  </sheetData>
  <sheetProtection/>
  <mergeCells count="3">
    <mergeCell ref="B1:O1"/>
    <mergeCell ref="B3:O3"/>
    <mergeCell ref="B2:O2"/>
  </mergeCells>
  <printOptions/>
  <pageMargins left="1.65" right="0.1968503937007874" top="0.2" bottom="0.19" header="0.31496062992125984" footer="0.31496062992125984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77"/>
  <sheetViews>
    <sheetView zoomScalePageLayoutView="0" workbookViewId="0" topLeftCell="A1">
      <pane xSplit="1" ySplit="6" topLeftCell="B5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66" sqref="Q66"/>
    </sheetView>
  </sheetViews>
  <sheetFormatPr defaultColWidth="26.75390625" defaultRowHeight="12.75"/>
  <cols>
    <col min="1" max="1" width="40.625" style="121" customWidth="1"/>
    <col min="2" max="2" width="10.875" style="121" hidden="1" customWidth="1"/>
    <col min="3" max="4" width="9.375" style="121" hidden="1" customWidth="1"/>
    <col min="5" max="5" width="10.25390625" style="121" hidden="1" customWidth="1"/>
    <col min="6" max="6" width="9.125" style="121" hidden="1" customWidth="1"/>
    <col min="7" max="7" width="9.00390625" style="121" hidden="1" customWidth="1"/>
    <col min="8" max="8" width="8.875" style="121" hidden="1" customWidth="1"/>
    <col min="9" max="9" width="9.25390625" style="121" hidden="1" customWidth="1"/>
    <col min="10" max="10" width="11.25390625" style="121" hidden="1" customWidth="1"/>
    <col min="11" max="11" width="9.75390625" style="121" hidden="1" customWidth="1"/>
    <col min="12" max="12" width="8.75390625" style="121" hidden="1" customWidth="1"/>
    <col min="13" max="13" width="9.25390625" style="121" hidden="1" customWidth="1"/>
    <col min="14" max="14" width="9.25390625" style="122" customWidth="1"/>
    <col min="15" max="15" width="7.625" style="121" customWidth="1"/>
    <col min="16" max="23" width="26.75390625" style="121" customWidth="1"/>
    <col min="24" max="24" width="26.75390625" style="122" customWidth="1"/>
    <col min="25" max="16384" width="26.75390625" style="121" customWidth="1"/>
  </cols>
  <sheetData>
    <row r="1" spans="1:15" ht="12.75">
      <c r="A1" s="204" t="s">
        <v>151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120"/>
    </row>
    <row r="2" spans="1:15" ht="12.75">
      <c r="A2" s="204" t="s">
        <v>152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120"/>
    </row>
    <row r="3" spans="1:15" ht="12.75">
      <c r="A3" s="205" t="s">
        <v>97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120"/>
    </row>
    <row r="5" spans="1:14" ht="12.75">
      <c r="A5" s="123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5"/>
    </row>
    <row r="6" spans="1:14" ht="25.5">
      <c r="A6" s="126" t="s">
        <v>98</v>
      </c>
      <c r="B6" s="127" t="s">
        <v>0</v>
      </c>
      <c r="C6" s="127" t="s">
        <v>1</v>
      </c>
      <c r="D6" s="127" t="s">
        <v>2</v>
      </c>
      <c r="E6" s="127" t="s">
        <v>3</v>
      </c>
      <c r="F6" s="127" t="s">
        <v>4</v>
      </c>
      <c r="G6" s="127" t="s">
        <v>5</v>
      </c>
      <c r="H6" s="127" t="s">
        <v>6</v>
      </c>
      <c r="I6" s="127" t="s">
        <v>7</v>
      </c>
      <c r="J6" s="127" t="s">
        <v>8</v>
      </c>
      <c r="K6" s="127" t="s">
        <v>9</v>
      </c>
      <c r="L6" s="127" t="s">
        <v>10</v>
      </c>
      <c r="M6" s="127" t="s">
        <v>11</v>
      </c>
      <c r="N6" s="128" t="s">
        <v>150</v>
      </c>
    </row>
    <row r="7" spans="1:14" ht="12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30"/>
    </row>
    <row r="8" spans="1:14" ht="12.75">
      <c r="A8" s="130" t="s">
        <v>43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30"/>
    </row>
    <row r="9" spans="1:14" ht="12.75">
      <c r="A9" s="129" t="s">
        <v>13</v>
      </c>
      <c r="B9" s="129">
        <v>-33665.76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>
        <f>B9+C9+D9+E9+F9+G9+H9+I9+J9+K9+L9+M9</f>
        <v>-33665.76</v>
      </c>
    </row>
    <row r="10" spans="1:14" s="122" customFormat="1" ht="12.75">
      <c r="A10" s="130" t="s">
        <v>16</v>
      </c>
      <c r="B10" s="130">
        <f>B9</f>
        <v>-33665.76</v>
      </c>
      <c r="C10" s="130">
        <f aca="true" t="shared" si="0" ref="C10:H10">B74</f>
        <v>-16672.5</v>
      </c>
      <c r="D10" s="130">
        <f t="shared" si="0"/>
        <v>-39238.97999999996</v>
      </c>
      <c r="E10" s="130">
        <f t="shared" si="0"/>
        <v>-24751.289999999957</v>
      </c>
      <c r="F10" s="130">
        <f t="shared" si="0"/>
        <v>-20972.98999999994</v>
      </c>
      <c r="G10" s="130">
        <f t="shared" si="0"/>
        <v>-40504.94999999993</v>
      </c>
      <c r="H10" s="130">
        <f t="shared" si="0"/>
        <v>-27323.76999999993</v>
      </c>
      <c r="I10" s="130">
        <f>H74</f>
        <v>-29239.509999999922</v>
      </c>
      <c r="J10" s="130">
        <f>I74</f>
        <v>-10588.719999999928</v>
      </c>
      <c r="K10" s="130">
        <f>J74</f>
        <v>-30750.489999999918</v>
      </c>
      <c r="L10" s="130">
        <f>K74</f>
        <v>-7749.989999999911</v>
      </c>
      <c r="M10" s="130">
        <f>L74</f>
        <v>18017.380000000092</v>
      </c>
      <c r="N10" s="130">
        <f>N9</f>
        <v>-33665.76</v>
      </c>
    </row>
    <row r="11" spans="1:14" ht="12.75">
      <c r="A11" s="129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30"/>
    </row>
    <row r="12" spans="1:24" s="133" customFormat="1" ht="12.75">
      <c r="A12" s="131" t="s">
        <v>17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1"/>
      <c r="X12" s="134"/>
    </row>
    <row r="13" spans="1:24" s="133" customFormat="1" ht="12.75">
      <c r="A13" s="132" t="s">
        <v>13</v>
      </c>
      <c r="B13" s="132">
        <v>63174.29</v>
      </c>
      <c r="C13" s="132">
        <v>63174.29</v>
      </c>
      <c r="D13" s="132">
        <v>63174.29</v>
      </c>
      <c r="E13" s="132">
        <v>63174.29</v>
      </c>
      <c r="F13" s="132">
        <v>63174.29</v>
      </c>
      <c r="G13" s="132">
        <v>63174.29</v>
      </c>
      <c r="H13" s="132">
        <v>75447.01</v>
      </c>
      <c r="I13" s="132">
        <v>75447.01</v>
      </c>
      <c r="J13" s="132">
        <v>75447.01</v>
      </c>
      <c r="K13" s="132">
        <v>75447.01</v>
      </c>
      <c r="L13" s="132">
        <v>75447.01</v>
      </c>
      <c r="M13" s="132">
        <v>75447.01</v>
      </c>
      <c r="N13" s="132">
        <f>B13+C13+D13+E13+F13+G13+H13+I13+J13+K13+L13+M13</f>
        <v>831727.8</v>
      </c>
      <c r="X13" s="134"/>
    </row>
    <row r="14" spans="1:24" s="133" customFormat="1" ht="12.75">
      <c r="A14" s="132" t="s">
        <v>38</v>
      </c>
      <c r="B14" s="132">
        <v>2984.4</v>
      </c>
      <c r="C14" s="132">
        <v>2984.4</v>
      </c>
      <c r="D14" s="132">
        <v>2984.4</v>
      </c>
      <c r="E14" s="132">
        <v>2984.4</v>
      </c>
      <c r="F14" s="132">
        <v>2984.4</v>
      </c>
      <c r="G14" s="132">
        <v>2984.4</v>
      </c>
      <c r="H14" s="132"/>
      <c r="I14" s="132"/>
      <c r="J14" s="132"/>
      <c r="K14" s="132"/>
      <c r="L14" s="132"/>
      <c r="M14" s="132"/>
      <c r="N14" s="132">
        <f>B14+C14+D14+E14+F14+G14+H14+I14+J14+K14+L14+M14</f>
        <v>17906.4</v>
      </c>
      <c r="X14" s="134"/>
    </row>
    <row r="15" spans="1:14" s="134" customFormat="1" ht="12.75">
      <c r="A15" s="131" t="s">
        <v>16</v>
      </c>
      <c r="B15" s="131">
        <f aca="true" t="shared" si="1" ref="B15:M15">SUM(B11:B14)</f>
        <v>66158.69</v>
      </c>
      <c r="C15" s="131">
        <f t="shared" si="1"/>
        <v>66158.69</v>
      </c>
      <c r="D15" s="131">
        <f t="shared" si="1"/>
        <v>66158.69</v>
      </c>
      <c r="E15" s="131">
        <f t="shared" si="1"/>
        <v>66158.69</v>
      </c>
      <c r="F15" s="131">
        <f t="shared" si="1"/>
        <v>66158.69</v>
      </c>
      <c r="G15" s="131">
        <f t="shared" si="1"/>
        <v>66158.69</v>
      </c>
      <c r="H15" s="131">
        <f t="shared" si="1"/>
        <v>75447.01</v>
      </c>
      <c r="I15" s="131">
        <f t="shared" si="1"/>
        <v>75447.01</v>
      </c>
      <c r="J15" s="131">
        <f t="shared" si="1"/>
        <v>75447.01</v>
      </c>
      <c r="K15" s="131">
        <f t="shared" si="1"/>
        <v>75447.01</v>
      </c>
      <c r="L15" s="131">
        <f t="shared" si="1"/>
        <v>75447.01</v>
      </c>
      <c r="M15" s="131">
        <f t="shared" si="1"/>
        <v>75447.01</v>
      </c>
      <c r="N15" s="131">
        <f>B15+C15+D15+E15+F15+G15+H15+I15+J15+K15+L15+M15</f>
        <v>849634.2000000001</v>
      </c>
    </row>
    <row r="16" spans="1:14" ht="12.75">
      <c r="A16" s="129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30"/>
    </row>
    <row r="17" spans="1:24" s="137" customFormat="1" ht="12.75">
      <c r="A17" s="135" t="s">
        <v>18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5"/>
      <c r="X17" s="138"/>
    </row>
    <row r="18" spans="1:24" s="137" customFormat="1" ht="12.75">
      <c r="A18" s="136" t="s">
        <v>13</v>
      </c>
      <c r="B18" s="136">
        <v>56759</v>
      </c>
      <c r="C18" s="136">
        <v>48897.16</v>
      </c>
      <c r="D18" s="136">
        <v>67780.26</v>
      </c>
      <c r="E18" s="136">
        <v>67117.66</v>
      </c>
      <c r="F18" s="136">
        <v>55116.12</v>
      </c>
      <c r="G18" s="136">
        <f>59071.59+182.43</f>
        <v>59254.02</v>
      </c>
      <c r="H18" s="136">
        <f>57588.34+1094.6</f>
        <v>58682.939999999995</v>
      </c>
      <c r="I18" s="136">
        <v>72582.66</v>
      </c>
      <c r="J18" s="136">
        <v>66533.13</v>
      </c>
      <c r="K18" s="136">
        <v>79711.6</v>
      </c>
      <c r="L18" s="136">
        <v>76309.46</v>
      </c>
      <c r="M18" s="136">
        <f>94133.17-3000</f>
        <v>91133.17</v>
      </c>
      <c r="N18" s="136">
        <f>B18+C18+D18+E18+F18+G18+H18+I18+J18+K18+L18+M18</f>
        <v>799877.18</v>
      </c>
      <c r="X18" s="138"/>
    </row>
    <row r="19" spans="1:24" s="137" customFormat="1" ht="12.75">
      <c r="A19" s="132" t="s">
        <v>38</v>
      </c>
      <c r="B19" s="136">
        <v>3240.52</v>
      </c>
      <c r="C19" s="136">
        <v>2290.98</v>
      </c>
      <c r="D19" s="136">
        <v>2848.21</v>
      </c>
      <c r="E19" s="136">
        <v>3103.44</v>
      </c>
      <c r="F19" s="136">
        <v>2698.93</v>
      </c>
      <c r="G19" s="136">
        <v>2932.46</v>
      </c>
      <c r="H19" s="136">
        <v>2682.9</v>
      </c>
      <c r="I19" s="136"/>
      <c r="J19" s="136"/>
      <c r="K19" s="136"/>
      <c r="L19" s="136"/>
      <c r="M19" s="136"/>
      <c r="N19" s="136">
        <f>B19+C19+D19+E19+F19+G19+H19+I19+J19+K19+L19+M19</f>
        <v>19797.440000000002</v>
      </c>
      <c r="X19" s="138"/>
    </row>
    <row r="20" spans="1:24" s="137" customFormat="1" ht="12.75">
      <c r="A20" s="139" t="s">
        <v>30</v>
      </c>
      <c r="B20" s="136">
        <v>3277.47</v>
      </c>
      <c r="C20" s="136">
        <v>2481.58</v>
      </c>
      <c r="D20" s="136">
        <v>3194.88</v>
      </c>
      <c r="E20" s="136">
        <v>3602.72</v>
      </c>
      <c r="F20" s="136">
        <v>2838.56</v>
      </c>
      <c r="G20" s="136">
        <v>3210.97</v>
      </c>
      <c r="H20" s="136">
        <v>2982.61</v>
      </c>
      <c r="I20" s="136"/>
      <c r="J20" s="136"/>
      <c r="K20" s="136"/>
      <c r="L20" s="136"/>
      <c r="M20" s="136"/>
      <c r="N20" s="136">
        <f>B20+C20+D20+E20+F20+G20+H20+I20+J20+K20+L20+M20</f>
        <v>21588.79</v>
      </c>
      <c r="X20" s="138"/>
    </row>
    <row r="21" spans="1:14" s="138" customFormat="1" ht="12.75">
      <c r="A21" s="135" t="s">
        <v>16</v>
      </c>
      <c r="B21" s="135">
        <f aca="true" t="shared" si="2" ref="B21:N21">SUM(B18:B20)</f>
        <v>63276.99</v>
      </c>
      <c r="C21" s="135">
        <f t="shared" si="2"/>
        <v>53669.72000000001</v>
      </c>
      <c r="D21" s="135">
        <f t="shared" si="2"/>
        <v>73823.35</v>
      </c>
      <c r="E21" s="135">
        <f t="shared" si="2"/>
        <v>73823.82</v>
      </c>
      <c r="F21" s="135">
        <f t="shared" si="2"/>
        <v>60653.61</v>
      </c>
      <c r="G21" s="135">
        <f t="shared" si="2"/>
        <v>65397.45</v>
      </c>
      <c r="H21" s="135">
        <f t="shared" si="2"/>
        <v>64348.45</v>
      </c>
      <c r="I21" s="135">
        <f t="shared" si="2"/>
        <v>72582.66</v>
      </c>
      <c r="J21" s="135">
        <f t="shared" si="2"/>
        <v>66533.13</v>
      </c>
      <c r="K21" s="135">
        <f t="shared" si="2"/>
        <v>79711.6</v>
      </c>
      <c r="L21" s="135">
        <f t="shared" si="2"/>
        <v>76309.46</v>
      </c>
      <c r="M21" s="135">
        <f t="shared" si="2"/>
        <v>91133.17</v>
      </c>
      <c r="N21" s="135">
        <f t="shared" si="2"/>
        <v>841263.4100000001</v>
      </c>
    </row>
    <row r="22" spans="1:14" ht="12.75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30"/>
    </row>
    <row r="23" spans="1:14" ht="12.75">
      <c r="A23" s="130" t="s">
        <v>19</v>
      </c>
      <c r="B23" s="140">
        <f aca="true" t="shared" si="3" ref="B23:N23">B21/B15</f>
        <v>0.9564426079174179</v>
      </c>
      <c r="C23" s="140">
        <f t="shared" si="3"/>
        <v>0.8112270663158537</v>
      </c>
      <c r="D23" s="140">
        <f t="shared" si="3"/>
        <v>1.1158526566955906</v>
      </c>
      <c r="E23" s="140">
        <f t="shared" si="3"/>
        <v>1.1158597608265823</v>
      </c>
      <c r="F23" s="140">
        <f t="shared" si="3"/>
        <v>0.9167897671492589</v>
      </c>
      <c r="G23" s="140">
        <f t="shared" si="3"/>
        <v>0.9884937262209997</v>
      </c>
      <c r="H23" s="140">
        <f t="shared" si="3"/>
        <v>0.8528959596940953</v>
      </c>
      <c r="I23" s="140">
        <f t="shared" si="3"/>
        <v>0.9620349434656192</v>
      </c>
      <c r="J23" s="140">
        <f t="shared" si="3"/>
        <v>0.8818524418661523</v>
      </c>
      <c r="K23" s="140">
        <f t="shared" si="3"/>
        <v>1.0565243075901882</v>
      </c>
      <c r="L23" s="140">
        <f t="shared" si="3"/>
        <v>1.01143120184617</v>
      </c>
      <c r="M23" s="140">
        <f t="shared" si="3"/>
        <v>1.207909630878679</v>
      </c>
      <c r="N23" s="141">
        <f t="shared" si="3"/>
        <v>0.9901477718293356</v>
      </c>
    </row>
    <row r="24" spans="1:14" ht="12.75">
      <c r="A24" s="130"/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2"/>
    </row>
    <row r="25" spans="1:14" ht="12.75">
      <c r="A25" s="130" t="s">
        <v>20</v>
      </c>
      <c r="B25" s="143">
        <f aca="true" t="shared" si="4" ref="B25:N25">B15-B21</f>
        <v>2881.7000000000044</v>
      </c>
      <c r="C25" s="143">
        <f t="shared" si="4"/>
        <v>12488.969999999994</v>
      </c>
      <c r="D25" s="143">
        <f t="shared" si="4"/>
        <v>-7664.6600000000035</v>
      </c>
      <c r="E25" s="143">
        <f t="shared" si="4"/>
        <v>-7665.130000000005</v>
      </c>
      <c r="F25" s="143">
        <f t="shared" si="4"/>
        <v>5505.080000000002</v>
      </c>
      <c r="G25" s="143">
        <f t="shared" si="4"/>
        <v>761.2400000000052</v>
      </c>
      <c r="H25" s="143">
        <f t="shared" si="4"/>
        <v>11098.559999999998</v>
      </c>
      <c r="I25" s="143">
        <f t="shared" si="4"/>
        <v>2864.3499999999913</v>
      </c>
      <c r="J25" s="143">
        <f t="shared" si="4"/>
        <v>8913.87999999999</v>
      </c>
      <c r="K25" s="143">
        <f t="shared" si="4"/>
        <v>-4264.590000000011</v>
      </c>
      <c r="L25" s="143">
        <f t="shared" si="4"/>
        <v>-862.4500000000116</v>
      </c>
      <c r="M25" s="143">
        <f t="shared" si="4"/>
        <v>-15686.160000000003</v>
      </c>
      <c r="N25" s="143">
        <f t="shared" si="4"/>
        <v>8370.78999999992</v>
      </c>
    </row>
    <row r="26" spans="1:14" ht="12.75">
      <c r="A26" s="129"/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30"/>
    </row>
    <row r="27" spans="1:24" s="145" customFormat="1" ht="12.75">
      <c r="A27" s="144" t="s">
        <v>21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44"/>
      <c r="X27" s="146"/>
    </row>
    <row r="28" spans="1:24" s="145" customFormat="1" ht="12.75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44"/>
      <c r="X28" s="146"/>
    </row>
    <row r="29" spans="1:24" s="145" customFormat="1" ht="12.75">
      <c r="A29" s="139" t="s">
        <v>22</v>
      </c>
      <c r="B29" s="139">
        <v>235.86</v>
      </c>
      <c r="C29" s="139">
        <v>186.05</v>
      </c>
      <c r="D29" s="139">
        <v>463.54</v>
      </c>
      <c r="E29" s="139">
        <f>255.1+52.42</f>
        <v>307.52</v>
      </c>
      <c r="F29" s="139">
        <v>1688.1</v>
      </c>
      <c r="G29" s="139">
        <f>190.11+254.34</f>
        <v>444.45000000000005</v>
      </c>
      <c r="H29" s="139">
        <v>341.84</v>
      </c>
      <c r="I29" s="139">
        <v>304.95</v>
      </c>
      <c r="J29" s="139">
        <v>246.07</v>
      </c>
      <c r="K29" s="139">
        <f>343.29-10</f>
        <v>333.29</v>
      </c>
      <c r="L29" s="139">
        <v>111.11</v>
      </c>
      <c r="M29" s="139">
        <v>291.76</v>
      </c>
      <c r="N29" s="139">
        <f>B29+C29+D29+E29+F29+G29+H29+I29+J29+K29+L29+M29</f>
        <v>4954.539999999999</v>
      </c>
      <c r="X29" s="146"/>
    </row>
    <row r="30" spans="1:24" s="145" customFormat="1" ht="12.75">
      <c r="A30" s="139" t="s">
        <v>198</v>
      </c>
      <c r="B30" s="139">
        <v>22240.67</v>
      </c>
      <c r="C30" s="139">
        <v>22240.67</v>
      </c>
      <c r="D30" s="139">
        <v>22240.67</v>
      </c>
      <c r="E30" s="139">
        <v>22240.67</v>
      </c>
      <c r="F30" s="139">
        <v>22240.67</v>
      </c>
      <c r="G30" s="139">
        <v>22240.67</v>
      </c>
      <c r="H30" s="139">
        <v>22240.67</v>
      </c>
      <c r="I30" s="139">
        <v>22981.77</v>
      </c>
      <c r="J30" s="139">
        <v>23408.83</v>
      </c>
      <c r="K30" s="139">
        <v>23408.83</v>
      </c>
      <c r="L30" s="139">
        <v>23408.83</v>
      </c>
      <c r="M30" s="139">
        <v>23408.83</v>
      </c>
      <c r="N30" s="139">
        <f aca="true" t="shared" si="5" ref="N30:N71">B30+C30+D30+E30+F30+G30+H30+I30+J30+K30+L30+M30</f>
        <v>272301.78</v>
      </c>
      <c r="X30" s="146"/>
    </row>
    <row r="31" spans="1:24" s="145" customFormat="1" ht="12.75">
      <c r="A31" s="139" t="s">
        <v>31</v>
      </c>
      <c r="B31" s="139">
        <f>3353.7+2757.78</f>
        <v>6111.48</v>
      </c>
      <c r="C31" s="139">
        <f>3353.7+5342.79</f>
        <v>8696.49</v>
      </c>
      <c r="D31" s="139">
        <f>3353.7+5188</f>
        <v>8541.7</v>
      </c>
      <c r="E31" s="139">
        <f>1923.14</f>
        <v>1923.14</v>
      </c>
      <c r="F31" s="139">
        <f>1923.14</f>
        <v>1923.14</v>
      </c>
      <c r="G31" s="139">
        <f>1923.14</f>
        <v>1923.14</v>
      </c>
      <c r="H31" s="139">
        <v>6508.5</v>
      </c>
      <c r="I31" s="139">
        <v>4977.65</v>
      </c>
      <c r="J31" s="139">
        <v>4977.65</v>
      </c>
      <c r="K31" s="139">
        <v>4977.65</v>
      </c>
      <c r="L31" s="139">
        <v>4977.65</v>
      </c>
      <c r="M31" s="139">
        <v>4977.65</v>
      </c>
      <c r="N31" s="139">
        <f>B31+C31+D31+E31+F31+G31+H31+I31+J31+K31+L31+M31+2543.42</f>
        <v>63059.26</v>
      </c>
      <c r="X31" s="146"/>
    </row>
    <row r="32" spans="1:24" s="145" customFormat="1" ht="12.75">
      <c r="A32" s="139" t="s">
        <v>32</v>
      </c>
      <c r="B32" s="139">
        <v>6251.37</v>
      </c>
      <c r="C32" s="139">
        <f>12465.24</f>
        <v>12465.24</v>
      </c>
      <c r="D32" s="139">
        <f>6167.9+6297.34</f>
        <v>12465.24</v>
      </c>
      <c r="E32" s="139">
        <f>6815.57+5440.39</f>
        <v>12255.96</v>
      </c>
      <c r="F32" s="139">
        <f>6779.93+5440.39</f>
        <v>12220.32</v>
      </c>
      <c r="G32" s="139">
        <f>6104.21+6151.72</f>
        <v>12255.93</v>
      </c>
      <c r="H32" s="139">
        <v>12255.93</v>
      </c>
      <c r="I32" s="139">
        <f>8901.98</f>
        <v>8901.98</v>
      </c>
      <c r="J32" s="139">
        <f>3353.96+5341.19+6914.75</f>
        <v>15609.9</v>
      </c>
      <c r="K32" s="139">
        <f>8901.98+3353.96</f>
        <v>12255.939999999999</v>
      </c>
      <c r="L32" s="139">
        <v>4169.09</v>
      </c>
      <c r="M32" s="139">
        <f>6358.55+5086.84+5897.38</f>
        <v>17342.77</v>
      </c>
      <c r="N32" s="139">
        <f t="shared" si="5"/>
        <v>138449.66999999998</v>
      </c>
      <c r="X32" s="146"/>
    </row>
    <row r="33" spans="1:24" s="145" customFormat="1" ht="12.75">
      <c r="A33" s="139" t="s">
        <v>26</v>
      </c>
      <c r="B33" s="139"/>
      <c r="C33" s="139">
        <f>789.67+15905.9</f>
        <v>16695.57</v>
      </c>
      <c r="D33" s="139">
        <v>789.67</v>
      </c>
      <c r="E33" s="139">
        <v>3002.34</v>
      </c>
      <c r="F33" s="139">
        <v>789.67</v>
      </c>
      <c r="G33" s="139">
        <v>789.67</v>
      </c>
      <c r="H33" s="139">
        <v>789.67</v>
      </c>
      <c r="I33" s="139">
        <v>1763.91</v>
      </c>
      <c r="J33" s="139">
        <f>974.24+11420.93</f>
        <v>12395.17</v>
      </c>
      <c r="K33" s="139">
        <v>974.24</v>
      </c>
      <c r="L33" s="139">
        <v>974.24</v>
      </c>
      <c r="M33" s="139">
        <v>974.24</v>
      </c>
      <c r="N33" s="139">
        <f t="shared" si="5"/>
        <v>39938.389999999985</v>
      </c>
      <c r="X33" s="146"/>
    </row>
    <row r="34" spans="1:24" s="145" customFormat="1" ht="12.75">
      <c r="A34" s="147" t="s">
        <v>33</v>
      </c>
      <c r="B34" s="139">
        <v>73.53</v>
      </c>
      <c r="C34" s="139">
        <v>73.53</v>
      </c>
      <c r="D34" s="139">
        <v>73.53</v>
      </c>
      <c r="E34" s="139">
        <v>73.53</v>
      </c>
      <c r="F34" s="139">
        <v>73.53</v>
      </c>
      <c r="G34" s="139">
        <v>73.53</v>
      </c>
      <c r="H34" s="139">
        <v>73.53</v>
      </c>
      <c r="I34" s="139">
        <v>73.53</v>
      </c>
      <c r="J34" s="139">
        <v>73.53</v>
      </c>
      <c r="K34" s="139">
        <v>73.53</v>
      </c>
      <c r="L34" s="139">
        <v>73.53</v>
      </c>
      <c r="M34" s="139">
        <v>73.53</v>
      </c>
      <c r="N34" s="139">
        <f t="shared" si="5"/>
        <v>882.3599999999998</v>
      </c>
      <c r="X34" s="146"/>
    </row>
    <row r="35" spans="1:24" s="145" customFormat="1" ht="12.75">
      <c r="A35" s="139" t="s">
        <v>34</v>
      </c>
      <c r="B35" s="139">
        <f>2000</f>
        <v>2000</v>
      </c>
      <c r="C35" s="139">
        <v>4500</v>
      </c>
      <c r="D35" s="139">
        <v>4500</v>
      </c>
      <c r="E35" s="139">
        <v>4500</v>
      </c>
      <c r="F35" s="139">
        <v>4500</v>
      </c>
      <c r="G35" s="139">
        <v>4500</v>
      </c>
      <c r="H35" s="139"/>
      <c r="I35" s="139"/>
      <c r="J35" s="139"/>
      <c r="K35" s="139">
        <v>4500</v>
      </c>
      <c r="L35" s="139">
        <v>2250</v>
      </c>
      <c r="M35" s="139">
        <f>2250+1500</f>
        <v>3750</v>
      </c>
      <c r="N35" s="139">
        <f t="shared" si="5"/>
        <v>35000</v>
      </c>
      <c r="X35" s="146"/>
    </row>
    <row r="36" spans="1:24" s="145" customFormat="1" ht="12.75">
      <c r="A36" s="139" t="s">
        <v>30</v>
      </c>
      <c r="B36" s="139"/>
      <c r="C36" s="139"/>
      <c r="D36" s="139"/>
      <c r="E36" s="139">
        <v>9000</v>
      </c>
      <c r="F36" s="139"/>
      <c r="G36" s="139"/>
      <c r="H36" s="139">
        <v>9000</v>
      </c>
      <c r="I36" s="139">
        <v>3000</v>
      </c>
      <c r="J36" s="139">
        <v>3000</v>
      </c>
      <c r="K36" s="139"/>
      <c r="L36" s="139">
        <f>3000+950</f>
        <v>3950</v>
      </c>
      <c r="M36" s="139">
        <v>2050</v>
      </c>
      <c r="N36" s="139">
        <f t="shared" si="5"/>
        <v>30000</v>
      </c>
      <c r="X36" s="146"/>
    </row>
    <row r="37" spans="1:24" s="145" customFormat="1" ht="12.75">
      <c r="A37" s="139" t="s">
        <v>36</v>
      </c>
      <c r="B37" s="139">
        <v>4259.83</v>
      </c>
      <c r="C37" s="139">
        <v>4259.83</v>
      </c>
      <c r="D37" s="139">
        <v>4259.83</v>
      </c>
      <c r="E37" s="139">
        <v>4259.83</v>
      </c>
      <c r="F37" s="139">
        <v>4259.83</v>
      </c>
      <c r="G37" s="139">
        <v>2506.65</v>
      </c>
      <c r="H37" s="139">
        <f>5062.23+1855.57</f>
        <v>6917.799999999999</v>
      </c>
      <c r="I37" s="139">
        <f>2829.76+1697.73</f>
        <v>4527.49</v>
      </c>
      <c r="J37" s="139">
        <f>2805.63+1721.86</f>
        <v>4527.49</v>
      </c>
      <c r="K37" s="139">
        <f>3059.23+1468.27</f>
        <v>4527.5</v>
      </c>
      <c r="L37" s="139">
        <f>2967.48+1560.01</f>
        <v>4527.49</v>
      </c>
      <c r="M37" s="139">
        <f>3156.06+1371.43</f>
        <v>4527.49</v>
      </c>
      <c r="N37" s="139">
        <f t="shared" si="5"/>
        <v>53361.06</v>
      </c>
      <c r="X37" s="146"/>
    </row>
    <row r="38" spans="1:24" s="145" customFormat="1" ht="12.75">
      <c r="A38" s="139" t="s">
        <v>35</v>
      </c>
      <c r="B38" s="139">
        <v>972.72</v>
      </c>
      <c r="C38" s="139">
        <v>972.72</v>
      </c>
      <c r="D38" s="139">
        <v>972.72</v>
      </c>
      <c r="E38" s="139">
        <v>972.72</v>
      </c>
      <c r="F38" s="139">
        <v>972.72</v>
      </c>
      <c r="G38" s="139">
        <v>972.72</v>
      </c>
      <c r="H38" s="139">
        <v>1173.8</v>
      </c>
      <c r="I38" s="139">
        <v>1173.8</v>
      </c>
      <c r="J38" s="139">
        <v>1173.8</v>
      </c>
      <c r="K38" s="139">
        <v>1173.8</v>
      </c>
      <c r="L38" s="139">
        <v>1173.8</v>
      </c>
      <c r="M38" s="139">
        <v>1173.8</v>
      </c>
      <c r="N38" s="139">
        <f t="shared" si="5"/>
        <v>12879.119999999999</v>
      </c>
      <c r="X38" s="146"/>
    </row>
    <row r="39" spans="1:24" s="145" customFormat="1" ht="12.75">
      <c r="A39" s="139" t="s">
        <v>29</v>
      </c>
      <c r="B39" s="139">
        <v>97.67</v>
      </c>
      <c r="C39" s="139">
        <v>282.98</v>
      </c>
      <c r="D39" s="139">
        <v>83.29</v>
      </c>
      <c r="E39" s="139">
        <v>165.21</v>
      </c>
      <c r="F39" s="139"/>
      <c r="G39" s="139">
        <v>100.59</v>
      </c>
      <c r="H39" s="139">
        <v>100.59</v>
      </c>
      <c r="I39" s="139">
        <v>346.58</v>
      </c>
      <c r="J39" s="139">
        <v>159.41</v>
      </c>
      <c r="K39" s="139">
        <v>178.82</v>
      </c>
      <c r="L39" s="139">
        <v>178.82</v>
      </c>
      <c r="M39" s="139">
        <v>101.91</v>
      </c>
      <c r="N39" s="139">
        <f t="shared" si="5"/>
        <v>1795.8700000000001</v>
      </c>
      <c r="X39" s="146"/>
    </row>
    <row r="40" spans="1:24" s="145" customFormat="1" ht="12.75">
      <c r="A40" s="139" t="s">
        <v>39</v>
      </c>
      <c r="B40" s="139">
        <v>3478.26</v>
      </c>
      <c r="C40" s="139">
        <v>3478.26</v>
      </c>
      <c r="D40" s="139">
        <v>3478.26</v>
      </c>
      <c r="E40" s="139">
        <v>3478.26</v>
      </c>
      <c r="F40" s="139">
        <v>3478.26</v>
      </c>
      <c r="G40" s="139">
        <v>3478.26</v>
      </c>
      <c r="H40" s="139">
        <v>3478.26</v>
      </c>
      <c r="I40" s="139">
        <v>3478.25</v>
      </c>
      <c r="J40" s="139">
        <v>3478.26</v>
      </c>
      <c r="K40" s="139">
        <v>3463.32</v>
      </c>
      <c r="L40" s="139">
        <v>3463.32</v>
      </c>
      <c r="M40" s="139">
        <v>3463.32</v>
      </c>
      <c r="N40" s="139">
        <f t="shared" si="5"/>
        <v>41694.29000000001</v>
      </c>
      <c r="X40" s="146"/>
    </row>
    <row r="41" spans="1:24" s="145" customFormat="1" ht="12.75">
      <c r="A41" s="139" t="s">
        <v>40</v>
      </c>
      <c r="B41" s="139"/>
      <c r="C41" s="139"/>
      <c r="D41" s="139"/>
      <c r="E41" s="139"/>
      <c r="F41" s="139"/>
      <c r="G41" s="139">
        <v>1484.76</v>
      </c>
      <c r="H41" s="139">
        <v>1484.76</v>
      </c>
      <c r="I41" s="139">
        <v>1484.76</v>
      </c>
      <c r="J41" s="139"/>
      <c r="K41" s="139"/>
      <c r="L41" s="139"/>
      <c r="M41" s="139"/>
      <c r="N41" s="139">
        <f t="shared" si="5"/>
        <v>4454.28</v>
      </c>
      <c r="X41" s="146"/>
    </row>
    <row r="42" spans="1:24" s="145" customFormat="1" ht="12.75">
      <c r="A42" s="139" t="s">
        <v>41</v>
      </c>
      <c r="B42" s="139"/>
      <c r="C42" s="139"/>
      <c r="D42" s="139"/>
      <c r="E42" s="139"/>
      <c r="F42" s="139">
        <v>25152.75</v>
      </c>
      <c r="G42" s="139">
        <v>30</v>
      </c>
      <c r="H42" s="139"/>
      <c r="I42" s="139"/>
      <c r="J42" s="139"/>
      <c r="K42" s="139"/>
      <c r="L42" s="139"/>
      <c r="M42" s="139"/>
      <c r="N42" s="139">
        <f t="shared" si="5"/>
        <v>25182.75</v>
      </c>
      <c r="X42" s="146"/>
    </row>
    <row r="43" spans="1:24" s="145" customFormat="1" ht="12.75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X43" s="146"/>
    </row>
    <row r="44" spans="1:24" s="145" customFormat="1" ht="12.75">
      <c r="A44" s="144" t="s">
        <v>42</v>
      </c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X44" s="146"/>
    </row>
    <row r="45" spans="1:24" s="145" customFormat="1" ht="12.75">
      <c r="A45" s="139" t="s">
        <v>45</v>
      </c>
      <c r="B45" s="139">
        <v>323.09</v>
      </c>
      <c r="C45" s="139">
        <v>323.09</v>
      </c>
      <c r="D45" s="139">
        <v>323.09</v>
      </c>
      <c r="E45" s="139">
        <v>323.09</v>
      </c>
      <c r="F45" s="139">
        <v>323.09</v>
      </c>
      <c r="G45" s="139">
        <v>323.09</v>
      </c>
      <c r="H45" s="139">
        <v>323.09</v>
      </c>
      <c r="I45" s="139">
        <v>323.09</v>
      </c>
      <c r="J45" s="139">
        <v>323.09</v>
      </c>
      <c r="K45" s="139">
        <v>323.09</v>
      </c>
      <c r="L45" s="139">
        <v>323.09</v>
      </c>
      <c r="M45" s="139">
        <v>323.09</v>
      </c>
      <c r="N45" s="139">
        <f t="shared" si="5"/>
        <v>3877.0800000000004</v>
      </c>
      <c r="X45" s="146"/>
    </row>
    <row r="46" spans="1:24" s="145" customFormat="1" ht="12.75">
      <c r="A46" s="139" t="s">
        <v>126</v>
      </c>
      <c r="B46" s="139">
        <v>239.25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>
        <f t="shared" si="5"/>
        <v>239.25</v>
      </c>
      <c r="X46" s="146"/>
    </row>
    <row r="47" spans="1:24" s="145" customFormat="1" ht="12.75">
      <c r="A47" s="139" t="s">
        <v>46</v>
      </c>
      <c r="B47" s="139"/>
      <c r="C47" s="139">
        <f>1135.3+58.82</f>
        <v>1194.12</v>
      </c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>
        <f t="shared" si="5"/>
        <v>1194.12</v>
      </c>
      <c r="X47" s="146"/>
    </row>
    <row r="48" spans="1:24" s="145" customFormat="1" ht="12.75">
      <c r="A48" s="139" t="s">
        <v>47</v>
      </c>
      <c r="B48" s="139"/>
      <c r="C48" s="139">
        <v>117.65</v>
      </c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>
        <f t="shared" si="5"/>
        <v>117.65</v>
      </c>
      <c r="X48" s="146"/>
    </row>
    <row r="49" spans="1:24" s="145" customFormat="1" ht="12.75">
      <c r="A49" s="139" t="s">
        <v>48</v>
      </c>
      <c r="B49" s="139"/>
      <c r="C49" s="139"/>
      <c r="D49" s="139">
        <v>17.65</v>
      </c>
      <c r="E49" s="139"/>
      <c r="F49" s="139"/>
      <c r="G49" s="139"/>
      <c r="H49" s="139"/>
      <c r="I49" s="139"/>
      <c r="J49" s="139"/>
      <c r="K49" s="139"/>
      <c r="L49" s="139"/>
      <c r="M49" s="139"/>
      <c r="N49" s="139">
        <f t="shared" si="5"/>
        <v>17.65</v>
      </c>
      <c r="X49" s="146"/>
    </row>
    <row r="50" spans="1:24" s="145" customFormat="1" ht="12.75">
      <c r="A50" s="139" t="s">
        <v>50</v>
      </c>
      <c r="B50" s="139"/>
      <c r="C50" s="139"/>
      <c r="D50" s="148">
        <v>126.47</v>
      </c>
      <c r="E50" s="139"/>
      <c r="F50" s="139">
        <v>1115</v>
      </c>
      <c r="G50" s="139">
        <v>735</v>
      </c>
      <c r="H50" s="139"/>
      <c r="I50" s="139">
        <v>25</v>
      </c>
      <c r="J50" s="139"/>
      <c r="K50" s="139">
        <v>65</v>
      </c>
      <c r="L50" s="139"/>
      <c r="M50" s="139"/>
      <c r="N50" s="139">
        <f t="shared" si="5"/>
        <v>2066.4700000000003</v>
      </c>
      <c r="X50" s="146"/>
    </row>
    <row r="51" spans="1:24" s="145" customFormat="1" ht="12.75">
      <c r="A51" s="139" t="s">
        <v>51</v>
      </c>
      <c r="B51" s="139"/>
      <c r="C51" s="139"/>
      <c r="D51" s="139"/>
      <c r="E51" s="139"/>
      <c r="F51" s="139">
        <v>405.71</v>
      </c>
      <c r="G51" s="139">
        <f>116.92+58.46</f>
        <v>175.38</v>
      </c>
      <c r="H51" s="139">
        <v>225.88</v>
      </c>
      <c r="I51" s="139">
        <v>80.77</v>
      </c>
      <c r="J51" s="139"/>
      <c r="K51" s="139"/>
      <c r="L51" s="139"/>
      <c r="M51" s="139"/>
      <c r="N51" s="139">
        <f t="shared" si="5"/>
        <v>887.7399999999999</v>
      </c>
      <c r="X51" s="146"/>
    </row>
    <row r="52" spans="1:24" s="145" customFormat="1" ht="12.75">
      <c r="A52" s="139" t="s">
        <v>80</v>
      </c>
      <c r="B52" s="139"/>
      <c r="C52" s="139">
        <v>750</v>
      </c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>
        <f t="shared" si="5"/>
        <v>750</v>
      </c>
      <c r="X52" s="146"/>
    </row>
    <row r="53" spans="1:24" s="145" customFormat="1" ht="12.75">
      <c r="A53" s="139" t="s">
        <v>81</v>
      </c>
      <c r="B53" s="139"/>
      <c r="C53" s="139"/>
      <c r="D53" s="139">
        <v>1000</v>
      </c>
      <c r="E53" s="139"/>
      <c r="F53" s="139"/>
      <c r="G53" s="139"/>
      <c r="H53" s="139"/>
      <c r="I53" s="139"/>
      <c r="J53" s="139"/>
      <c r="K53" s="139"/>
      <c r="L53" s="139"/>
      <c r="M53" s="139"/>
      <c r="N53" s="139">
        <f t="shared" si="5"/>
        <v>1000</v>
      </c>
      <c r="X53" s="146"/>
    </row>
    <row r="54" spans="1:24" s="145" customFormat="1" ht="12.75">
      <c r="A54" s="139" t="s">
        <v>49</v>
      </c>
      <c r="B54" s="139"/>
      <c r="C54" s="139"/>
      <c r="D54" s="139"/>
      <c r="E54" s="139">
        <v>1550</v>
      </c>
      <c r="F54" s="139"/>
      <c r="G54" s="139"/>
      <c r="H54" s="139"/>
      <c r="I54" s="139"/>
      <c r="J54" s="139"/>
      <c r="K54" s="139"/>
      <c r="L54" s="139"/>
      <c r="M54" s="139"/>
      <c r="N54" s="139">
        <f t="shared" si="5"/>
        <v>1550</v>
      </c>
      <c r="X54" s="146"/>
    </row>
    <row r="55" spans="1:24" s="145" customFormat="1" ht="12.75">
      <c r="A55" s="139" t="s">
        <v>83</v>
      </c>
      <c r="B55" s="139"/>
      <c r="C55" s="139"/>
      <c r="D55" s="139"/>
      <c r="E55" s="139">
        <v>140</v>
      </c>
      <c r="F55" s="139">
        <v>14</v>
      </c>
      <c r="G55" s="139"/>
      <c r="H55" s="139"/>
      <c r="I55" s="139"/>
      <c r="J55" s="139"/>
      <c r="K55" s="139"/>
      <c r="L55" s="139"/>
      <c r="M55" s="139"/>
      <c r="N55" s="139">
        <f t="shared" si="5"/>
        <v>154</v>
      </c>
      <c r="X55" s="146"/>
    </row>
    <row r="56" spans="1:24" s="145" customFormat="1" ht="12.75">
      <c r="A56" s="139" t="s">
        <v>84</v>
      </c>
      <c r="B56" s="139"/>
      <c r="C56" s="139"/>
      <c r="D56" s="139"/>
      <c r="E56" s="139">
        <v>5853.25</v>
      </c>
      <c r="F56" s="139"/>
      <c r="G56" s="139"/>
      <c r="H56" s="139"/>
      <c r="I56" s="139"/>
      <c r="J56" s="139"/>
      <c r="K56" s="139"/>
      <c r="L56" s="139"/>
      <c r="M56" s="139"/>
      <c r="N56" s="139">
        <f t="shared" si="5"/>
        <v>5853.25</v>
      </c>
      <c r="X56" s="146"/>
    </row>
    <row r="57" spans="1:24" s="145" customFormat="1" ht="12.75">
      <c r="A57" s="139" t="s">
        <v>85</v>
      </c>
      <c r="B57" s="139"/>
      <c r="C57" s="139"/>
      <c r="D57" s="139"/>
      <c r="E57" s="139"/>
      <c r="F57" s="139">
        <v>1028.78</v>
      </c>
      <c r="G57" s="139"/>
      <c r="H57" s="139"/>
      <c r="I57" s="139"/>
      <c r="J57" s="139"/>
      <c r="K57" s="139"/>
      <c r="L57" s="139"/>
      <c r="M57" s="139"/>
      <c r="N57" s="139">
        <f t="shared" si="5"/>
        <v>1028.78</v>
      </c>
      <c r="X57" s="146"/>
    </row>
    <row r="58" spans="1:24" s="145" customFormat="1" ht="12.75">
      <c r="A58" s="139" t="s">
        <v>123</v>
      </c>
      <c r="B58" s="139"/>
      <c r="C58" s="139"/>
      <c r="D58" s="139"/>
      <c r="E58" s="139"/>
      <c r="F58" s="139"/>
      <c r="G58" s="139">
        <v>182.43</v>
      </c>
      <c r="H58" s="139">
        <v>1094.6</v>
      </c>
      <c r="I58" s="139"/>
      <c r="J58" s="139"/>
      <c r="K58" s="139"/>
      <c r="L58" s="139"/>
      <c r="M58" s="139"/>
      <c r="N58" s="139">
        <f t="shared" si="5"/>
        <v>1277.03</v>
      </c>
      <c r="X58" s="146"/>
    </row>
    <row r="59" spans="1:24" s="145" customFormat="1" ht="12.75">
      <c r="A59" s="139" t="s">
        <v>130</v>
      </c>
      <c r="B59" s="139"/>
      <c r="C59" s="139"/>
      <c r="D59" s="139"/>
      <c r="E59" s="139"/>
      <c r="F59" s="139"/>
      <c r="G59" s="139"/>
      <c r="H59" s="139">
        <v>161.76</v>
      </c>
      <c r="I59" s="139"/>
      <c r="J59" s="139"/>
      <c r="K59" s="139"/>
      <c r="L59" s="139"/>
      <c r="M59" s="139"/>
      <c r="N59" s="139">
        <f t="shared" si="5"/>
        <v>161.76</v>
      </c>
      <c r="X59" s="146"/>
    </row>
    <row r="60" spans="1:24" s="145" customFormat="1" ht="12.75">
      <c r="A60" s="139" t="s">
        <v>134</v>
      </c>
      <c r="B60" s="139"/>
      <c r="C60" s="139"/>
      <c r="D60" s="139"/>
      <c r="E60" s="139"/>
      <c r="F60" s="139"/>
      <c r="G60" s="139"/>
      <c r="H60" s="139">
        <v>93.51</v>
      </c>
      <c r="I60" s="139"/>
      <c r="J60" s="139"/>
      <c r="K60" s="139">
        <v>30.35</v>
      </c>
      <c r="L60" s="139"/>
      <c r="M60" s="139"/>
      <c r="N60" s="139">
        <f t="shared" si="5"/>
        <v>123.86000000000001</v>
      </c>
      <c r="X60" s="146"/>
    </row>
    <row r="61" spans="1:24" s="145" customFormat="1" ht="12.75">
      <c r="A61" s="147" t="s">
        <v>139</v>
      </c>
      <c r="B61" s="139"/>
      <c r="C61" s="139"/>
      <c r="D61" s="139"/>
      <c r="E61" s="139"/>
      <c r="F61" s="139"/>
      <c r="G61" s="139"/>
      <c r="H61" s="139"/>
      <c r="I61" s="139">
        <v>57.23</v>
      </c>
      <c r="J61" s="139"/>
      <c r="K61" s="139"/>
      <c r="L61" s="139"/>
      <c r="M61" s="139"/>
      <c r="N61" s="139">
        <f t="shared" si="5"/>
        <v>57.23</v>
      </c>
      <c r="X61" s="146"/>
    </row>
    <row r="62" spans="1:24" s="145" customFormat="1" ht="12.75">
      <c r="A62" s="139" t="s">
        <v>207</v>
      </c>
      <c r="B62" s="139"/>
      <c r="C62" s="139"/>
      <c r="D62" s="139"/>
      <c r="E62" s="139"/>
      <c r="F62" s="139"/>
      <c r="G62" s="139"/>
      <c r="H62" s="139"/>
      <c r="I62" s="139">
        <v>381.51</v>
      </c>
      <c r="J62" s="139"/>
      <c r="K62" s="139">
        <v>425.74</v>
      </c>
      <c r="L62" s="139">
        <v>425.74</v>
      </c>
      <c r="M62" s="139">
        <v>567.65</v>
      </c>
      <c r="N62" s="139">
        <f t="shared" si="5"/>
        <v>1800.6399999999999</v>
      </c>
      <c r="X62" s="146"/>
    </row>
    <row r="63" spans="1:24" s="145" customFormat="1" ht="12.75">
      <c r="A63" s="139" t="s">
        <v>156</v>
      </c>
      <c r="B63" s="139"/>
      <c r="C63" s="139"/>
      <c r="D63" s="139"/>
      <c r="E63" s="139"/>
      <c r="F63" s="139"/>
      <c r="G63" s="139"/>
      <c r="H63" s="139"/>
      <c r="I63" s="139">
        <v>49.6</v>
      </c>
      <c r="J63" s="139"/>
      <c r="K63" s="139"/>
      <c r="L63" s="139"/>
      <c r="M63" s="139"/>
      <c r="N63" s="139">
        <f t="shared" si="5"/>
        <v>49.6</v>
      </c>
      <c r="X63" s="146"/>
    </row>
    <row r="64" spans="1:24" s="145" customFormat="1" ht="12.75">
      <c r="A64" s="139" t="s">
        <v>195</v>
      </c>
      <c r="B64" s="139"/>
      <c r="C64" s="139"/>
      <c r="D64" s="139"/>
      <c r="E64" s="139"/>
      <c r="F64" s="139"/>
      <c r="G64" s="139"/>
      <c r="H64" s="139"/>
      <c r="I64" s="139"/>
      <c r="J64" s="139">
        <v>160.75</v>
      </c>
      <c r="K64" s="139"/>
      <c r="L64" s="139"/>
      <c r="M64" s="139"/>
      <c r="N64" s="139">
        <f t="shared" si="5"/>
        <v>160.75</v>
      </c>
      <c r="X64" s="146"/>
    </row>
    <row r="65" spans="1:24" s="145" customFormat="1" ht="12.75">
      <c r="A65" s="139" t="s">
        <v>158</v>
      </c>
      <c r="B65" s="139"/>
      <c r="C65" s="139"/>
      <c r="D65" s="139"/>
      <c r="E65" s="139"/>
      <c r="F65" s="139"/>
      <c r="G65" s="139"/>
      <c r="H65" s="139"/>
      <c r="I65" s="139"/>
      <c r="J65" s="139">
        <v>17143.45</v>
      </c>
      <c r="K65" s="139"/>
      <c r="L65" s="139"/>
      <c r="M65" s="139"/>
      <c r="N65" s="139">
        <f t="shared" si="5"/>
        <v>17143.45</v>
      </c>
      <c r="X65" s="146"/>
    </row>
    <row r="66" spans="1:24" s="145" customFormat="1" ht="12.75">
      <c r="A66" s="139" t="s">
        <v>159</v>
      </c>
      <c r="B66" s="139"/>
      <c r="C66" s="139"/>
      <c r="D66" s="139"/>
      <c r="E66" s="139"/>
      <c r="F66" s="139"/>
      <c r="G66" s="139"/>
      <c r="H66" s="139"/>
      <c r="I66" s="139"/>
      <c r="J66" s="139">
        <v>17.5</v>
      </c>
      <c r="K66" s="139"/>
      <c r="L66" s="139"/>
      <c r="M66" s="139"/>
      <c r="N66" s="139">
        <f t="shared" si="5"/>
        <v>17.5</v>
      </c>
      <c r="X66" s="146"/>
    </row>
    <row r="67" spans="1:24" s="145" customFormat="1" ht="12.75">
      <c r="A67" s="139" t="s">
        <v>196</v>
      </c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>
        <v>525.07</v>
      </c>
      <c r="M67" s="139"/>
      <c r="N67" s="139">
        <f t="shared" si="5"/>
        <v>525.07</v>
      </c>
      <c r="X67" s="146"/>
    </row>
    <row r="68" spans="1:24" s="145" customFormat="1" ht="12.75">
      <c r="A68" s="139" t="s">
        <v>197</v>
      </c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>
        <v>10.31</v>
      </c>
      <c r="M68" s="139"/>
      <c r="N68" s="139">
        <f t="shared" si="5"/>
        <v>10.31</v>
      </c>
      <c r="X68" s="146"/>
    </row>
    <row r="69" spans="1:24" s="145" customFormat="1" ht="12.75">
      <c r="A69" s="139" t="s">
        <v>182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>
        <v>127.17</v>
      </c>
      <c r="N69" s="139">
        <f t="shared" si="5"/>
        <v>127.17</v>
      </c>
      <c r="X69" s="146"/>
    </row>
    <row r="70" spans="1:24" s="145" customFormat="1" ht="12.75" hidden="1">
      <c r="A70" s="139"/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>
        <f t="shared" si="5"/>
        <v>0</v>
      </c>
      <c r="X70" s="146"/>
    </row>
    <row r="71" spans="1:24" s="145" customFormat="1" ht="12.75" hidden="1">
      <c r="A71" s="139"/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>
        <f t="shared" si="5"/>
        <v>0</v>
      </c>
      <c r="X71" s="146"/>
    </row>
    <row r="72" spans="1:24" s="145" customFormat="1" ht="12.75">
      <c r="A72" s="144" t="s">
        <v>16</v>
      </c>
      <c r="B72" s="144">
        <f aca="true" t="shared" si="6" ref="B72:N72">SUM(B29:B71)</f>
        <v>46283.729999999996</v>
      </c>
      <c r="C72" s="144">
        <f t="shared" si="6"/>
        <v>76236.19999999997</v>
      </c>
      <c r="D72" s="144">
        <f t="shared" si="6"/>
        <v>59335.66</v>
      </c>
      <c r="E72" s="144">
        <f t="shared" si="6"/>
        <v>70045.51999999999</v>
      </c>
      <c r="F72" s="144">
        <f t="shared" si="6"/>
        <v>80185.56999999999</v>
      </c>
      <c r="G72" s="144">
        <f t="shared" si="6"/>
        <v>52216.27</v>
      </c>
      <c r="H72" s="144">
        <f t="shared" si="6"/>
        <v>66264.18999999999</v>
      </c>
      <c r="I72" s="144">
        <f t="shared" si="6"/>
        <v>53931.87000000001</v>
      </c>
      <c r="J72" s="144">
        <f t="shared" si="6"/>
        <v>86694.9</v>
      </c>
      <c r="K72" s="144">
        <f t="shared" si="6"/>
        <v>56711.1</v>
      </c>
      <c r="L72" s="144">
        <f t="shared" si="6"/>
        <v>50542.09</v>
      </c>
      <c r="M72" s="144">
        <f t="shared" si="6"/>
        <v>63153.20999999999</v>
      </c>
      <c r="N72" s="144">
        <f t="shared" si="6"/>
        <v>764143.7300000001</v>
      </c>
      <c r="X72" s="146"/>
    </row>
    <row r="74" spans="1:14" ht="12.75">
      <c r="A74" s="149" t="s">
        <v>194</v>
      </c>
      <c r="B74" s="150">
        <f aca="true" t="shared" si="7" ref="B74:N74">B10+B21-B72</f>
        <v>-16672.5</v>
      </c>
      <c r="C74" s="150">
        <f t="shared" si="7"/>
        <v>-39238.97999999996</v>
      </c>
      <c r="D74" s="150">
        <f t="shared" si="7"/>
        <v>-24751.289999999957</v>
      </c>
      <c r="E74" s="150">
        <f t="shared" si="7"/>
        <v>-20972.98999999994</v>
      </c>
      <c r="F74" s="150">
        <f t="shared" si="7"/>
        <v>-40504.94999999993</v>
      </c>
      <c r="G74" s="150">
        <f t="shared" si="7"/>
        <v>-27323.76999999993</v>
      </c>
      <c r="H74" s="150">
        <f t="shared" si="7"/>
        <v>-29239.509999999922</v>
      </c>
      <c r="I74" s="150">
        <f t="shared" si="7"/>
        <v>-10588.719999999928</v>
      </c>
      <c r="J74" s="150">
        <f t="shared" si="7"/>
        <v>-30750.489999999918</v>
      </c>
      <c r="K74" s="150">
        <f t="shared" si="7"/>
        <v>-7749.989999999911</v>
      </c>
      <c r="L74" s="150">
        <f t="shared" si="7"/>
        <v>18017.380000000092</v>
      </c>
      <c r="M74" s="150">
        <f t="shared" si="7"/>
        <v>45997.3400000001</v>
      </c>
      <c r="N74" s="151">
        <f t="shared" si="7"/>
        <v>43453.92000000004</v>
      </c>
    </row>
    <row r="75" spans="1:14" s="122" customFormat="1" ht="12.75">
      <c r="A75" s="125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</row>
    <row r="76" ht="12.75">
      <c r="A76" s="121" t="s">
        <v>24</v>
      </c>
    </row>
    <row r="77" ht="12.75">
      <c r="A77" s="121" t="s">
        <v>25</v>
      </c>
    </row>
  </sheetData>
  <sheetProtection/>
  <mergeCells count="3">
    <mergeCell ref="A1:N1"/>
    <mergeCell ref="A2:N2"/>
    <mergeCell ref="A3:N3"/>
  </mergeCells>
  <printOptions/>
  <pageMargins left="2.12" right="0.15748031496062992" top="0.39" bottom="0.43" header="0.31496062992125984" footer="0.31496062992125984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Y85"/>
  <sheetViews>
    <sheetView zoomScalePageLayoutView="0" workbookViewId="0" topLeftCell="A1">
      <pane xSplit="2" ySplit="5" topLeftCell="C6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75" sqref="Q75"/>
    </sheetView>
  </sheetViews>
  <sheetFormatPr defaultColWidth="26.75390625" defaultRowHeight="12.75"/>
  <cols>
    <col min="1" max="1" width="10.25390625" style="86" customWidth="1"/>
    <col min="2" max="2" width="42.75390625" style="86" customWidth="1"/>
    <col min="3" max="3" width="0.2421875" style="86" customWidth="1"/>
    <col min="4" max="5" width="9.375" style="86" hidden="1" customWidth="1"/>
    <col min="6" max="6" width="10.25390625" style="86" hidden="1" customWidth="1"/>
    <col min="7" max="7" width="9.125" style="86" hidden="1" customWidth="1"/>
    <col min="8" max="8" width="9.00390625" style="86" hidden="1" customWidth="1"/>
    <col min="9" max="9" width="8.875" style="86" hidden="1" customWidth="1"/>
    <col min="10" max="10" width="9.25390625" style="86" hidden="1" customWidth="1"/>
    <col min="11" max="11" width="11.25390625" style="86" hidden="1" customWidth="1"/>
    <col min="12" max="12" width="9.75390625" style="86" hidden="1" customWidth="1"/>
    <col min="13" max="13" width="8.75390625" style="86" hidden="1" customWidth="1"/>
    <col min="14" max="14" width="9.25390625" style="86" hidden="1" customWidth="1"/>
    <col min="15" max="15" width="10.375" style="87" customWidth="1"/>
    <col min="16" max="16" width="7.625" style="86" customWidth="1"/>
    <col min="17" max="24" width="26.75390625" style="86" customWidth="1"/>
    <col min="25" max="25" width="26.75390625" style="87" customWidth="1"/>
    <col min="26" max="16384" width="26.75390625" style="86" customWidth="1"/>
  </cols>
  <sheetData>
    <row r="1" spans="2:16" ht="12">
      <c r="B1" s="194" t="s">
        <v>151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85"/>
    </row>
    <row r="2" spans="2:16" ht="12">
      <c r="B2" s="194" t="s">
        <v>152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85"/>
    </row>
    <row r="3" spans="2:15" ht="12">
      <c r="B3" s="195" t="s">
        <v>154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</row>
    <row r="5" spans="2:15" ht="12">
      <c r="B5" s="93"/>
      <c r="C5" s="93" t="s">
        <v>0</v>
      </c>
      <c r="D5" s="93" t="s">
        <v>1</v>
      </c>
      <c r="E5" s="93" t="s">
        <v>2</v>
      </c>
      <c r="F5" s="93" t="s">
        <v>3</v>
      </c>
      <c r="G5" s="93" t="s">
        <v>4</v>
      </c>
      <c r="H5" s="93" t="s">
        <v>5</v>
      </c>
      <c r="I5" s="93" t="s">
        <v>6</v>
      </c>
      <c r="J5" s="93" t="s">
        <v>7</v>
      </c>
      <c r="K5" s="93" t="s">
        <v>8</v>
      </c>
      <c r="L5" s="93" t="s">
        <v>9</v>
      </c>
      <c r="M5" s="93" t="s">
        <v>10</v>
      </c>
      <c r="N5" s="93" t="s">
        <v>11</v>
      </c>
      <c r="O5" s="187" t="s">
        <v>12</v>
      </c>
    </row>
    <row r="6" spans="2:15" ht="12"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</row>
    <row r="7" spans="2:15" ht="12">
      <c r="B7" s="94" t="s">
        <v>43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</row>
    <row r="8" spans="2:15" ht="12">
      <c r="B8" s="93" t="s">
        <v>13</v>
      </c>
      <c r="C8" s="93">
        <v>-8616.28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>
        <f>C8+D8+E8+F8+G8+H8+I8+J8+K8+L8+M8+N8</f>
        <v>-8616.28</v>
      </c>
    </row>
    <row r="9" spans="2:15" ht="12">
      <c r="B9" s="93" t="s">
        <v>14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>
        <f>C9+D9+E9+F9+G9+H9+I9+J9+K9+L9+M9+N9</f>
        <v>0</v>
      </c>
    </row>
    <row r="10" spans="2:15" ht="12">
      <c r="B10" s="93" t="s">
        <v>15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>
        <f>C10+D10+E10+F10+G10+H10+I10+J10+K10+L10+M10+N10</f>
        <v>0</v>
      </c>
    </row>
    <row r="11" spans="2:15" s="87" customFormat="1" ht="12">
      <c r="B11" s="94" t="s">
        <v>16</v>
      </c>
      <c r="C11" s="94">
        <f>C8+C9+C10</f>
        <v>-8616.28</v>
      </c>
      <c r="D11" s="94">
        <f aca="true" t="shared" si="0" ref="D11:I11">C80</f>
        <v>89.99000000000524</v>
      </c>
      <c r="E11" s="94">
        <f t="shared" si="0"/>
        <v>-7868.93</v>
      </c>
      <c r="F11" s="94">
        <f t="shared" si="0"/>
        <v>16481.489999999983</v>
      </c>
      <c r="G11" s="94">
        <f t="shared" si="0"/>
        <v>-8461.610000000044</v>
      </c>
      <c r="H11" s="94">
        <f t="shared" si="0"/>
        <v>-19480.050000000047</v>
      </c>
      <c r="I11" s="94">
        <f t="shared" si="0"/>
        <v>-13019.590000000047</v>
      </c>
      <c r="J11" s="94">
        <f>I80</f>
        <v>8783.41999999994</v>
      </c>
      <c r="K11" s="94">
        <f>J80</f>
        <v>31830.579999999944</v>
      </c>
      <c r="L11" s="94">
        <f>K80</f>
        <v>34435.62999999993</v>
      </c>
      <c r="M11" s="94">
        <f>L80</f>
        <v>64221.73999999993</v>
      </c>
      <c r="N11" s="94">
        <f>M80</f>
        <v>96172.79999999993</v>
      </c>
      <c r="O11" s="94">
        <f>O8+O9+O10</f>
        <v>-8616.28</v>
      </c>
    </row>
    <row r="12" spans="2:15" ht="12"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4"/>
    </row>
    <row r="13" spans="2:15" ht="12"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4"/>
    </row>
    <row r="14" spans="2:25" s="97" customFormat="1" ht="12">
      <c r="B14" s="95" t="s">
        <v>17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5"/>
      <c r="Y14" s="98"/>
    </row>
    <row r="15" spans="2:25" s="97" customFormat="1" ht="12">
      <c r="B15" s="96" t="s">
        <v>13</v>
      </c>
      <c r="C15" s="96">
        <v>75805.48</v>
      </c>
      <c r="D15" s="96">
        <v>75805.48</v>
      </c>
      <c r="E15" s="96">
        <v>75805.48</v>
      </c>
      <c r="F15" s="96">
        <v>75805.48</v>
      </c>
      <c r="G15" s="96">
        <v>75805.48</v>
      </c>
      <c r="H15" s="96">
        <v>75805.48</v>
      </c>
      <c r="I15" s="96">
        <v>91322.05</v>
      </c>
      <c r="J15" s="96">
        <v>91322.05</v>
      </c>
      <c r="K15" s="96">
        <v>91322.05</v>
      </c>
      <c r="L15" s="96">
        <v>91322.05</v>
      </c>
      <c r="M15" s="96">
        <v>91322.05</v>
      </c>
      <c r="N15" s="96">
        <v>91322.05</v>
      </c>
      <c r="O15" s="96">
        <f>C15+D15+E15+F15+G15+H15+I15+J15+K15+L15+M15+N15</f>
        <v>1002765.1800000002</v>
      </c>
      <c r="Y15" s="98"/>
    </row>
    <row r="16" spans="2:25" s="97" customFormat="1" ht="12"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>
        <f>C16+D16+E16+F16+G16+H16+I16+J16+K16+L16+M16+N16</f>
        <v>0</v>
      </c>
      <c r="Y16" s="98"/>
    </row>
    <row r="17" spans="2:15" s="98" customFormat="1" ht="12">
      <c r="B17" s="95" t="s">
        <v>16</v>
      </c>
      <c r="C17" s="95">
        <f aca="true" t="shared" si="1" ref="C17:N17">SUM(C13:C16)</f>
        <v>75805.48</v>
      </c>
      <c r="D17" s="95">
        <f t="shared" si="1"/>
        <v>75805.48</v>
      </c>
      <c r="E17" s="95">
        <f t="shared" si="1"/>
        <v>75805.48</v>
      </c>
      <c r="F17" s="95">
        <f t="shared" si="1"/>
        <v>75805.48</v>
      </c>
      <c r="G17" s="95">
        <f t="shared" si="1"/>
        <v>75805.48</v>
      </c>
      <c r="H17" s="95">
        <f t="shared" si="1"/>
        <v>75805.48</v>
      </c>
      <c r="I17" s="95">
        <f t="shared" si="1"/>
        <v>91322.05</v>
      </c>
      <c r="J17" s="95">
        <f t="shared" si="1"/>
        <v>91322.05</v>
      </c>
      <c r="K17" s="95">
        <f t="shared" si="1"/>
        <v>91322.05</v>
      </c>
      <c r="L17" s="95">
        <f t="shared" si="1"/>
        <v>91322.05</v>
      </c>
      <c r="M17" s="95">
        <f t="shared" si="1"/>
        <v>91322.05</v>
      </c>
      <c r="N17" s="95">
        <f t="shared" si="1"/>
        <v>91322.05</v>
      </c>
      <c r="O17" s="95">
        <f>C17+D17+E17+F17+G17+H17+I17+J17+K17+L17+M17+N17</f>
        <v>1002765.1800000002</v>
      </c>
    </row>
    <row r="18" spans="2:15" ht="12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4"/>
    </row>
    <row r="19" spans="2:25" s="102" customFormat="1" ht="12">
      <c r="B19" s="100" t="s">
        <v>18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0"/>
      <c r="Y19" s="103"/>
    </row>
    <row r="20" spans="2:25" s="102" customFormat="1" ht="12">
      <c r="B20" s="101" t="s">
        <v>13</v>
      </c>
      <c r="C20" s="101">
        <v>60420.01</v>
      </c>
      <c r="D20" s="101">
        <v>57058.74</v>
      </c>
      <c r="E20" s="101">
        <v>84084.76</v>
      </c>
      <c r="F20" s="101">
        <v>68150.42</v>
      </c>
      <c r="G20" s="101">
        <v>78317.74</v>
      </c>
      <c r="H20" s="101">
        <v>68630.08</v>
      </c>
      <c r="I20" s="101">
        <v>90483.9</v>
      </c>
      <c r="J20" s="101">
        <v>77431.18</v>
      </c>
      <c r="K20" s="101">
        <v>80164.04</v>
      </c>
      <c r="L20" s="101">
        <v>90556.73</v>
      </c>
      <c r="M20" s="101">
        <v>86957.85</v>
      </c>
      <c r="N20" s="101">
        <v>84198.29</v>
      </c>
      <c r="O20" s="101">
        <f>C20+D20+E20+F20+G20+H20+I20+J20+K20+L20+M20+N20</f>
        <v>926453.7400000001</v>
      </c>
      <c r="Y20" s="103"/>
    </row>
    <row r="21" spans="2:25" s="102" customFormat="1" ht="12"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>
        <f>C21+D21+E21+F21+G21+H21+I21+J21+K21+L21+M21+N21</f>
        <v>0</v>
      </c>
      <c r="Y21" s="103"/>
    </row>
    <row r="22" spans="2:15" s="103" customFormat="1" ht="12">
      <c r="B22" s="100" t="s">
        <v>16</v>
      </c>
      <c r="C22" s="100">
        <f aca="true" t="shared" si="2" ref="C22:O22">SUM(C20:C21)</f>
        <v>60420.01</v>
      </c>
      <c r="D22" s="100">
        <f t="shared" si="2"/>
        <v>57058.74</v>
      </c>
      <c r="E22" s="100">
        <f t="shared" si="2"/>
        <v>84084.76</v>
      </c>
      <c r="F22" s="100">
        <f t="shared" si="2"/>
        <v>68150.42</v>
      </c>
      <c r="G22" s="100">
        <f t="shared" si="2"/>
        <v>78317.74</v>
      </c>
      <c r="H22" s="100">
        <f t="shared" si="2"/>
        <v>68630.08</v>
      </c>
      <c r="I22" s="100">
        <f t="shared" si="2"/>
        <v>90483.9</v>
      </c>
      <c r="J22" s="100">
        <f t="shared" si="2"/>
        <v>77431.18</v>
      </c>
      <c r="K22" s="100">
        <f t="shared" si="2"/>
        <v>80164.04</v>
      </c>
      <c r="L22" s="100">
        <f t="shared" si="2"/>
        <v>90556.73</v>
      </c>
      <c r="M22" s="100">
        <f t="shared" si="2"/>
        <v>86957.85</v>
      </c>
      <c r="N22" s="100">
        <f t="shared" si="2"/>
        <v>84198.29</v>
      </c>
      <c r="O22" s="100">
        <f t="shared" si="2"/>
        <v>926453.7400000001</v>
      </c>
    </row>
    <row r="23" spans="2:15" ht="12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4"/>
    </row>
    <row r="24" spans="2:15" ht="12">
      <c r="B24" s="94" t="s">
        <v>19</v>
      </c>
      <c r="C24" s="104">
        <f aca="true" t="shared" si="3" ref="C24:O24">C22/C17</f>
        <v>0.7970401348293027</v>
      </c>
      <c r="D24" s="104">
        <f t="shared" si="3"/>
        <v>0.7526994090664686</v>
      </c>
      <c r="E24" s="104">
        <f t="shared" si="3"/>
        <v>1.1092174338847272</v>
      </c>
      <c r="F24" s="104">
        <f t="shared" si="3"/>
        <v>0.8990170631463583</v>
      </c>
      <c r="G24" s="104">
        <f t="shared" si="3"/>
        <v>1.0331408758311407</v>
      </c>
      <c r="H24" s="104">
        <f t="shared" si="3"/>
        <v>0.905344574033434</v>
      </c>
      <c r="I24" s="104">
        <f t="shared" si="3"/>
        <v>0.9908220413361285</v>
      </c>
      <c r="J24" s="104">
        <f t="shared" si="3"/>
        <v>0.8478913909619855</v>
      </c>
      <c r="K24" s="104">
        <f t="shared" si="3"/>
        <v>0.8778169127828382</v>
      </c>
      <c r="L24" s="104">
        <f t="shared" si="3"/>
        <v>0.9916195486194188</v>
      </c>
      <c r="M24" s="104">
        <f t="shared" si="3"/>
        <v>0.952210884446856</v>
      </c>
      <c r="N24" s="104">
        <f t="shared" si="3"/>
        <v>0.9219929907399143</v>
      </c>
      <c r="O24" s="105">
        <f t="shared" si="3"/>
        <v>0.9238989929825844</v>
      </c>
    </row>
    <row r="25" spans="2:15" ht="12">
      <c r="B25" s="9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6"/>
    </row>
    <row r="26" spans="2:15" ht="12">
      <c r="B26" s="94" t="s">
        <v>20</v>
      </c>
      <c r="C26" s="107">
        <f aca="true" t="shared" si="4" ref="C26:O26">C17-C22</f>
        <v>15385.469999999994</v>
      </c>
      <c r="D26" s="107">
        <f t="shared" si="4"/>
        <v>18746.739999999998</v>
      </c>
      <c r="E26" s="107">
        <f t="shared" si="4"/>
        <v>-8279.279999999999</v>
      </c>
      <c r="F26" s="107">
        <f t="shared" si="4"/>
        <v>7655.059999999998</v>
      </c>
      <c r="G26" s="107">
        <f t="shared" si="4"/>
        <v>-2512.2600000000093</v>
      </c>
      <c r="H26" s="107">
        <f t="shared" si="4"/>
        <v>7175.399999999994</v>
      </c>
      <c r="I26" s="107">
        <f t="shared" si="4"/>
        <v>838.1500000000087</v>
      </c>
      <c r="J26" s="107">
        <f t="shared" si="4"/>
        <v>13890.87000000001</v>
      </c>
      <c r="K26" s="107">
        <f t="shared" si="4"/>
        <v>11158.01000000001</v>
      </c>
      <c r="L26" s="107">
        <f t="shared" si="4"/>
        <v>765.320000000007</v>
      </c>
      <c r="M26" s="107">
        <f t="shared" si="4"/>
        <v>4364.199999999997</v>
      </c>
      <c r="N26" s="107">
        <f t="shared" si="4"/>
        <v>7123.760000000009</v>
      </c>
      <c r="O26" s="107">
        <f t="shared" si="4"/>
        <v>76311.44000000006</v>
      </c>
    </row>
    <row r="27" spans="2:15" ht="12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4"/>
    </row>
    <row r="28" spans="2:25" s="109" customFormat="1" ht="12">
      <c r="B28" s="108" t="s">
        <v>21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108"/>
      <c r="Y28" s="110"/>
    </row>
    <row r="29" spans="2:25" s="109" customFormat="1" ht="12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108"/>
      <c r="Y29" s="110"/>
    </row>
    <row r="30" spans="2:25" s="109" customFormat="1" ht="12">
      <c r="B30" s="99" t="s">
        <v>22</v>
      </c>
      <c r="C30" s="99">
        <v>235.86</v>
      </c>
      <c r="D30" s="99">
        <v>186.05</v>
      </c>
      <c r="E30" s="99">
        <f>463.54-0.57</f>
        <v>462.97</v>
      </c>
      <c r="F30" s="99">
        <f>255.1+52.42</f>
        <v>307.52</v>
      </c>
      <c r="G30" s="99">
        <v>1688.1</v>
      </c>
      <c r="H30" s="99">
        <f>192.11+254.16</f>
        <v>446.27</v>
      </c>
      <c r="I30" s="99">
        <v>269.36</v>
      </c>
      <c r="J30" s="99">
        <v>274.84</v>
      </c>
      <c r="K30" s="99">
        <v>246.07</v>
      </c>
      <c r="L30" s="99">
        <v>393.59</v>
      </c>
      <c r="M30" s="99">
        <v>121.11</v>
      </c>
      <c r="N30" s="99">
        <v>291.76</v>
      </c>
      <c r="O30" s="99">
        <f>C30+D30+E30+F30+G30+H30+I30+J30+K30+L30+M30+N30</f>
        <v>4923.5</v>
      </c>
      <c r="Y30" s="110"/>
    </row>
    <row r="31" spans="2:25" s="109" customFormat="1" ht="12">
      <c r="B31" s="99" t="s">
        <v>185</v>
      </c>
      <c r="C31" s="99">
        <v>26683.54</v>
      </c>
      <c r="D31" s="99">
        <v>26683.54</v>
      </c>
      <c r="E31" s="99">
        <v>26683.54</v>
      </c>
      <c r="F31" s="99">
        <v>26683.54</v>
      </c>
      <c r="G31" s="99">
        <v>26683.54</v>
      </c>
      <c r="H31" s="99">
        <v>26683.54</v>
      </c>
      <c r="I31" s="99">
        <v>26683.54</v>
      </c>
      <c r="J31" s="99">
        <v>22965.05</v>
      </c>
      <c r="K31" s="99">
        <v>23391.79</v>
      </c>
      <c r="L31" s="99">
        <v>23391.79</v>
      </c>
      <c r="M31" s="99">
        <v>23391.79</v>
      </c>
      <c r="N31" s="99">
        <v>23391.79</v>
      </c>
      <c r="O31" s="99">
        <f aca="true" t="shared" si="5" ref="O31:O77">C31+D31+E31+F31+G31+H31+I31+J31+K31+L31+M31+N31</f>
        <v>303316.99</v>
      </c>
      <c r="Y31" s="110"/>
    </row>
    <row r="32" spans="2:25" s="109" customFormat="1" ht="12">
      <c r="B32" s="99" t="s">
        <v>31</v>
      </c>
      <c r="C32" s="99">
        <f>3351.26+2755.77</f>
        <v>6107.030000000001</v>
      </c>
      <c r="D32" s="99">
        <f>3351.26+5384.21</f>
        <v>8735.470000000001</v>
      </c>
      <c r="E32" s="99">
        <f>3351.26+5000+228.22</f>
        <v>8579.48</v>
      </c>
      <c r="F32" s="99">
        <f>5000+1921.74</f>
        <v>6921.74</v>
      </c>
      <c r="G32" s="99">
        <f>5000+1921.74</f>
        <v>6921.74</v>
      </c>
      <c r="H32" s="99">
        <f>5000+1921.74</f>
        <v>6921.74</v>
      </c>
      <c r="I32" s="99">
        <v>6503.77</v>
      </c>
      <c r="J32" s="99">
        <v>4974.03</v>
      </c>
      <c r="K32" s="99">
        <v>4974.03</v>
      </c>
      <c r="L32" s="99">
        <v>4974.03</v>
      </c>
      <c r="M32" s="99">
        <v>4974.03</v>
      </c>
      <c r="N32" s="99">
        <v>4974.03</v>
      </c>
      <c r="O32" s="99">
        <f>C32+D32+E32+F32+G32+H32+I32+J32+K32+L32+M32+N32+2541.57</f>
        <v>78102.69</v>
      </c>
      <c r="Y32" s="110"/>
    </row>
    <row r="33" spans="2:25" s="109" customFormat="1" ht="12">
      <c r="B33" s="99" t="s">
        <v>32</v>
      </c>
      <c r="C33" s="99">
        <f>6246.83</f>
        <v>6246.83</v>
      </c>
      <c r="D33" s="99">
        <f>12456.17</f>
        <v>12456.17</v>
      </c>
      <c r="E33" s="99">
        <f>6163.41+6292.76</f>
        <v>12456.17</v>
      </c>
      <c r="F33" s="99">
        <f>6810.61+5436.43</f>
        <v>12247.04</v>
      </c>
      <c r="G33" s="99">
        <f>6774.99+5436.43</f>
        <v>12211.42</v>
      </c>
      <c r="H33" s="99">
        <f>6099.77+6147.25</f>
        <v>12247.02</v>
      </c>
      <c r="I33" s="99">
        <v>12247.02</v>
      </c>
      <c r="J33" s="99">
        <v>8895.5</v>
      </c>
      <c r="K33" s="99">
        <f>3351.52+5337.3+6909.72</f>
        <v>15598.54</v>
      </c>
      <c r="L33" s="99">
        <f>8895.5+3351.52</f>
        <v>12247.02</v>
      </c>
      <c r="M33" s="99">
        <v>7163.87</v>
      </c>
      <c r="N33" s="99">
        <f>6353.93+5083.14+5893.09</f>
        <v>17330.16</v>
      </c>
      <c r="O33" s="99">
        <f t="shared" si="5"/>
        <v>141346.75999999998</v>
      </c>
      <c r="Y33" s="110"/>
    </row>
    <row r="34" spans="2:25" s="109" customFormat="1" ht="12">
      <c r="B34" s="99" t="s">
        <v>26</v>
      </c>
      <c r="C34" s="99"/>
      <c r="D34" s="99">
        <v>2751.37</v>
      </c>
      <c r="E34" s="99">
        <v>789.67</v>
      </c>
      <c r="F34" s="99">
        <v>789.1</v>
      </c>
      <c r="G34" s="99">
        <v>789.1</v>
      </c>
      <c r="H34" s="99">
        <v>789.1</v>
      </c>
      <c r="I34" s="99">
        <v>789.1</v>
      </c>
      <c r="J34" s="99">
        <v>1762.38</v>
      </c>
      <c r="K34" s="99">
        <v>973.28</v>
      </c>
      <c r="L34" s="99">
        <v>973.28</v>
      </c>
      <c r="M34" s="99">
        <v>973.28</v>
      </c>
      <c r="N34" s="99">
        <v>973.28</v>
      </c>
      <c r="O34" s="99">
        <f t="shared" si="5"/>
        <v>12352.940000000004</v>
      </c>
      <c r="Y34" s="110"/>
    </row>
    <row r="35" spans="2:25" s="109" customFormat="1" ht="12">
      <c r="B35" s="111" t="s">
        <v>33</v>
      </c>
      <c r="C35" s="99">
        <v>73.47</v>
      </c>
      <c r="D35" s="99">
        <v>73.47</v>
      </c>
      <c r="E35" s="99">
        <v>73.47</v>
      </c>
      <c r="F35" s="99">
        <v>73.47</v>
      </c>
      <c r="G35" s="99">
        <v>73.47</v>
      </c>
      <c r="H35" s="99">
        <v>73.47</v>
      </c>
      <c r="I35" s="99">
        <v>73.47</v>
      </c>
      <c r="J35" s="99">
        <v>73.47</v>
      </c>
      <c r="K35" s="99">
        <v>73.47</v>
      </c>
      <c r="L35" s="99">
        <v>73.47</v>
      </c>
      <c r="M35" s="99">
        <v>73.47</v>
      </c>
      <c r="N35" s="99">
        <v>73.47</v>
      </c>
      <c r="O35" s="99">
        <f t="shared" si="5"/>
        <v>881.6400000000002</v>
      </c>
      <c r="Y35" s="110"/>
    </row>
    <row r="36" spans="2:25" s="109" customFormat="1" ht="12">
      <c r="B36" s="99" t="s">
        <v>34</v>
      </c>
      <c r="C36" s="99">
        <f>2000</f>
        <v>2000</v>
      </c>
      <c r="D36" s="99">
        <v>4500</v>
      </c>
      <c r="E36" s="99">
        <v>4500</v>
      </c>
      <c r="F36" s="99">
        <v>4500</v>
      </c>
      <c r="G36" s="99">
        <v>4500</v>
      </c>
      <c r="H36" s="99">
        <v>4500</v>
      </c>
      <c r="I36" s="99"/>
      <c r="J36" s="99"/>
      <c r="K36" s="99"/>
      <c r="L36" s="99">
        <v>4500</v>
      </c>
      <c r="M36" s="99">
        <v>2250</v>
      </c>
      <c r="N36" s="99">
        <f>2250+2500</f>
        <v>4750</v>
      </c>
      <c r="O36" s="99">
        <f t="shared" si="5"/>
        <v>36000</v>
      </c>
      <c r="Y36" s="110"/>
    </row>
    <row r="37" spans="2:25" s="109" customFormat="1" ht="12">
      <c r="B37" s="99" t="s">
        <v>30</v>
      </c>
      <c r="C37" s="99"/>
      <c r="D37" s="99"/>
      <c r="E37" s="99"/>
      <c r="F37" s="99">
        <v>10200</v>
      </c>
      <c r="G37" s="99"/>
      <c r="H37" s="99"/>
      <c r="I37" s="99">
        <v>10200</v>
      </c>
      <c r="J37" s="99">
        <v>3400</v>
      </c>
      <c r="K37" s="99">
        <v>3400</v>
      </c>
      <c r="L37" s="99"/>
      <c r="M37" s="99">
        <v>3400</v>
      </c>
      <c r="N37" s="99">
        <v>3400</v>
      </c>
      <c r="O37" s="99">
        <f t="shared" si="5"/>
        <v>34000</v>
      </c>
      <c r="Y37" s="110"/>
    </row>
    <row r="38" spans="2:25" s="109" customFormat="1" ht="12">
      <c r="B38" s="99" t="s">
        <v>36</v>
      </c>
      <c r="C38" s="99">
        <v>4292.85</v>
      </c>
      <c r="D38" s="99">
        <v>4292.85</v>
      </c>
      <c r="E38" s="112">
        <v>4292.85</v>
      </c>
      <c r="F38" s="112">
        <v>4292.85</v>
      </c>
      <c r="G38" s="99">
        <v>4292.85</v>
      </c>
      <c r="H38" s="99">
        <v>2504.83</v>
      </c>
      <c r="I38" s="99">
        <f>5058.56+1854.22</f>
        <v>6912.780000000001</v>
      </c>
      <c r="J38" s="99">
        <f>2827.7+1696.6</f>
        <v>4524.299999999999</v>
      </c>
      <c r="K38" s="99">
        <f>2803.59+1720.61</f>
        <v>4524.2</v>
      </c>
      <c r="L38" s="99">
        <f>3057+1467.2</f>
        <v>4524.2</v>
      </c>
      <c r="M38" s="99">
        <f>2965.32+1558.88</f>
        <v>4524.200000000001</v>
      </c>
      <c r="N38" s="99">
        <f>3153.77+1370.43</f>
        <v>4524.2</v>
      </c>
      <c r="O38" s="99">
        <f t="shared" si="5"/>
        <v>53502.95999999999</v>
      </c>
      <c r="Y38" s="110"/>
    </row>
    <row r="39" spans="2:25" s="109" customFormat="1" ht="12">
      <c r="B39" s="99" t="s">
        <v>35</v>
      </c>
      <c r="C39" s="99">
        <v>980.26</v>
      </c>
      <c r="D39" s="99">
        <v>980.26</v>
      </c>
      <c r="E39" s="112">
        <v>980.26</v>
      </c>
      <c r="F39" s="112">
        <v>980.26</v>
      </c>
      <c r="G39" s="112">
        <v>980.26</v>
      </c>
      <c r="H39" s="99">
        <v>980.26</v>
      </c>
      <c r="I39" s="99">
        <v>1172.94</v>
      </c>
      <c r="J39" s="99">
        <v>1172.94</v>
      </c>
      <c r="K39" s="99">
        <v>1172.94</v>
      </c>
      <c r="L39" s="99">
        <v>1172.94</v>
      </c>
      <c r="M39" s="99">
        <v>1172.94</v>
      </c>
      <c r="N39" s="99">
        <v>1172.94</v>
      </c>
      <c r="O39" s="99">
        <f t="shared" si="5"/>
        <v>12919.200000000003</v>
      </c>
      <c r="Y39" s="110"/>
    </row>
    <row r="40" spans="2:25" s="109" customFormat="1" ht="12">
      <c r="B40" s="99" t="s">
        <v>29</v>
      </c>
      <c r="C40" s="99">
        <v>97.67</v>
      </c>
      <c r="D40" s="99">
        <v>282.98</v>
      </c>
      <c r="E40" s="99">
        <v>83.29</v>
      </c>
      <c r="F40" s="99">
        <v>165.21</v>
      </c>
      <c r="G40" s="99"/>
      <c r="H40" s="99">
        <v>100.59</v>
      </c>
      <c r="I40" s="99">
        <v>100.59</v>
      </c>
      <c r="J40" s="99">
        <v>346.22</v>
      </c>
      <c r="K40" s="99">
        <v>159.41</v>
      </c>
      <c r="L40" s="99">
        <v>178.82</v>
      </c>
      <c r="M40" s="99">
        <v>178.82</v>
      </c>
      <c r="N40" s="99">
        <v>101.91</v>
      </c>
      <c r="O40" s="99">
        <f t="shared" si="5"/>
        <v>1795.5100000000002</v>
      </c>
      <c r="Y40" s="110"/>
    </row>
    <row r="41" spans="2:25" s="109" customFormat="1" ht="12">
      <c r="B41" s="99" t="s">
        <v>39</v>
      </c>
      <c r="C41" s="99">
        <v>4434.13</v>
      </c>
      <c r="D41" s="99">
        <f>832.15+1609.56</f>
        <v>2441.71</v>
      </c>
      <c r="E41" s="99">
        <v>365.67</v>
      </c>
      <c r="F41" s="99">
        <v>3762.69</v>
      </c>
      <c r="G41" s="99">
        <v>3762.69</v>
      </c>
      <c r="H41" s="99">
        <v>3785.89</v>
      </c>
      <c r="I41" s="99">
        <v>1250</v>
      </c>
      <c r="J41" s="99">
        <v>2500</v>
      </c>
      <c r="K41" s="99">
        <v>2114.93</v>
      </c>
      <c r="L41" s="99">
        <v>2500</v>
      </c>
      <c r="M41" s="99">
        <v>3000</v>
      </c>
      <c r="N41" s="99">
        <v>3000</v>
      </c>
      <c r="O41" s="99">
        <f t="shared" si="5"/>
        <v>32917.71000000001</v>
      </c>
      <c r="Y41" s="110"/>
    </row>
    <row r="42" spans="2:25" s="109" customFormat="1" ht="12">
      <c r="B42" s="99" t="s">
        <v>40</v>
      </c>
      <c r="C42" s="99"/>
      <c r="D42" s="99"/>
      <c r="E42" s="99"/>
      <c r="F42" s="99"/>
      <c r="G42" s="99"/>
      <c r="H42" s="99">
        <v>1483.68</v>
      </c>
      <c r="I42" s="99">
        <v>1483.68</v>
      </c>
      <c r="J42" s="99">
        <v>1483.68</v>
      </c>
      <c r="K42" s="99"/>
      <c r="L42" s="99"/>
      <c r="M42" s="99"/>
      <c r="N42" s="99"/>
      <c r="O42" s="99">
        <f t="shared" si="5"/>
        <v>4451.04</v>
      </c>
      <c r="Y42" s="110"/>
    </row>
    <row r="43" spans="2:25" s="109" customFormat="1" ht="12">
      <c r="B43" s="99" t="s">
        <v>41</v>
      </c>
      <c r="C43" s="99"/>
      <c r="D43" s="99"/>
      <c r="E43" s="99"/>
      <c r="F43" s="99"/>
      <c r="G43" s="99">
        <v>25134.45</v>
      </c>
      <c r="H43" s="99">
        <v>30</v>
      </c>
      <c r="I43" s="99"/>
      <c r="J43" s="99"/>
      <c r="K43" s="99"/>
      <c r="L43" s="99"/>
      <c r="M43" s="99"/>
      <c r="N43" s="99"/>
      <c r="O43" s="99">
        <f t="shared" si="5"/>
        <v>25164.45</v>
      </c>
      <c r="Y43" s="110"/>
    </row>
    <row r="44" spans="2:25" s="109" customFormat="1" ht="12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Y44" s="110"/>
    </row>
    <row r="45" spans="2:25" s="109" customFormat="1" ht="12">
      <c r="B45" s="108" t="s">
        <v>42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Y45" s="110"/>
    </row>
    <row r="46" spans="2:25" s="109" customFormat="1" ht="12">
      <c r="B46" s="99" t="s">
        <v>45</v>
      </c>
      <c r="C46" s="99">
        <v>322.85</v>
      </c>
      <c r="D46" s="99">
        <v>322.85</v>
      </c>
      <c r="E46" s="99">
        <v>322.85</v>
      </c>
      <c r="F46" s="99">
        <v>322.85</v>
      </c>
      <c r="G46" s="99">
        <v>322.85</v>
      </c>
      <c r="H46" s="99">
        <v>322.85</v>
      </c>
      <c r="I46" s="99">
        <v>322.85</v>
      </c>
      <c r="J46" s="99">
        <v>322.85</v>
      </c>
      <c r="K46" s="99">
        <v>322.85</v>
      </c>
      <c r="L46" s="99">
        <v>322.85</v>
      </c>
      <c r="M46" s="99">
        <v>322.85</v>
      </c>
      <c r="N46" s="99">
        <v>322.85</v>
      </c>
      <c r="O46" s="99">
        <f t="shared" si="5"/>
        <v>3874.1999999999994</v>
      </c>
      <c r="Y46" s="110"/>
    </row>
    <row r="47" spans="2:25" s="109" customFormat="1" ht="12">
      <c r="B47" s="99" t="s">
        <v>126</v>
      </c>
      <c r="C47" s="99">
        <v>239.25</v>
      </c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>
        <f t="shared" si="5"/>
        <v>239.25</v>
      </c>
      <c r="Y47" s="110"/>
    </row>
    <row r="48" spans="2:25" s="109" customFormat="1" ht="12">
      <c r="B48" s="99" t="s">
        <v>46</v>
      </c>
      <c r="C48" s="99"/>
      <c r="D48" s="99">
        <f>1134.47+58.82</f>
        <v>1193.29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>
        <f t="shared" si="5"/>
        <v>1193.29</v>
      </c>
      <c r="Y48" s="110"/>
    </row>
    <row r="49" spans="2:25" s="109" customFormat="1" ht="12">
      <c r="B49" s="99" t="s">
        <v>47</v>
      </c>
      <c r="C49" s="99"/>
      <c r="D49" s="99">
        <v>117.65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>
        <f t="shared" si="5"/>
        <v>117.65</v>
      </c>
      <c r="Y49" s="110"/>
    </row>
    <row r="50" spans="2:25" s="109" customFormat="1" ht="12">
      <c r="B50" s="99" t="s">
        <v>48</v>
      </c>
      <c r="C50" s="99"/>
      <c r="D50" s="99"/>
      <c r="E50" s="99">
        <v>17.65</v>
      </c>
      <c r="F50" s="99"/>
      <c r="G50" s="99"/>
      <c r="H50" s="99"/>
      <c r="I50" s="99"/>
      <c r="J50" s="99"/>
      <c r="K50" s="99"/>
      <c r="L50" s="99"/>
      <c r="M50" s="99"/>
      <c r="N50" s="99"/>
      <c r="O50" s="99">
        <f t="shared" si="5"/>
        <v>17.65</v>
      </c>
      <c r="Y50" s="110"/>
    </row>
    <row r="51" spans="2:25" s="109" customFormat="1" ht="12">
      <c r="B51" s="99" t="s">
        <v>50</v>
      </c>
      <c r="C51" s="99"/>
      <c r="D51" s="99"/>
      <c r="E51" s="112">
        <v>126.47</v>
      </c>
      <c r="F51" s="99"/>
      <c r="G51" s="99">
        <v>1075</v>
      </c>
      <c r="H51" s="99">
        <v>735</v>
      </c>
      <c r="I51" s="99"/>
      <c r="J51" s="99">
        <v>25</v>
      </c>
      <c r="K51" s="99"/>
      <c r="L51" s="99">
        <v>32.5</v>
      </c>
      <c r="M51" s="99"/>
      <c r="N51" s="99"/>
      <c r="O51" s="99">
        <f t="shared" si="5"/>
        <v>1993.97</v>
      </c>
      <c r="Y51" s="110"/>
    </row>
    <row r="52" spans="2:25" s="109" customFormat="1" ht="12">
      <c r="B52" s="99" t="s">
        <v>153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>
        <v>1000</v>
      </c>
      <c r="N52" s="99"/>
      <c r="O52" s="99">
        <f t="shared" si="5"/>
        <v>1000</v>
      </c>
      <c r="Y52" s="110"/>
    </row>
    <row r="53" spans="2:25" s="109" customFormat="1" ht="12">
      <c r="B53" s="99" t="s">
        <v>51</v>
      </c>
      <c r="C53" s="99"/>
      <c r="D53" s="99"/>
      <c r="E53" s="99"/>
      <c r="F53" s="99"/>
      <c r="G53" s="99">
        <v>405.71</v>
      </c>
      <c r="H53" s="99">
        <f>116.92+58.46</f>
        <v>175.38</v>
      </c>
      <c r="I53" s="99">
        <v>225.52</v>
      </c>
      <c r="J53" s="99">
        <v>80.77</v>
      </c>
      <c r="K53" s="99"/>
      <c r="L53" s="99"/>
      <c r="M53" s="99"/>
      <c r="N53" s="99"/>
      <c r="O53" s="99">
        <f t="shared" si="5"/>
        <v>887.3799999999999</v>
      </c>
      <c r="Y53" s="110"/>
    </row>
    <row r="54" spans="2:25" s="109" customFormat="1" ht="12">
      <c r="B54" s="99" t="s">
        <v>49</v>
      </c>
      <c r="C54" s="99"/>
      <c r="D54" s="99"/>
      <c r="E54" s="99"/>
      <c r="F54" s="99">
        <v>3100</v>
      </c>
      <c r="G54" s="99"/>
      <c r="H54" s="99"/>
      <c r="I54" s="99"/>
      <c r="J54" s="99"/>
      <c r="K54" s="99"/>
      <c r="L54" s="99"/>
      <c r="M54" s="99"/>
      <c r="N54" s="99"/>
      <c r="O54" s="99">
        <f t="shared" si="5"/>
        <v>3100</v>
      </c>
      <c r="Y54" s="110"/>
    </row>
    <row r="55" spans="2:25" s="109" customFormat="1" ht="12">
      <c r="B55" s="99" t="s">
        <v>86</v>
      </c>
      <c r="C55" s="99"/>
      <c r="D55" s="99"/>
      <c r="E55" s="99"/>
      <c r="F55" s="99">
        <v>5853.25</v>
      </c>
      <c r="G55" s="99"/>
      <c r="H55" s="99"/>
      <c r="I55" s="99"/>
      <c r="J55" s="99"/>
      <c r="K55" s="99"/>
      <c r="L55" s="99"/>
      <c r="M55" s="99"/>
      <c r="N55" s="99"/>
      <c r="O55" s="99">
        <f t="shared" si="5"/>
        <v>5853.25</v>
      </c>
      <c r="Y55" s="110"/>
    </row>
    <row r="56" spans="2:25" s="109" customFormat="1" ht="12">
      <c r="B56" s="111" t="s">
        <v>87</v>
      </c>
      <c r="C56" s="99"/>
      <c r="D56" s="99"/>
      <c r="E56" s="99"/>
      <c r="F56" s="99">
        <v>8194</v>
      </c>
      <c r="G56" s="99"/>
      <c r="H56" s="99"/>
      <c r="I56" s="99"/>
      <c r="J56" s="99"/>
      <c r="K56" s="99"/>
      <c r="L56" s="99"/>
      <c r="M56" s="99"/>
      <c r="N56" s="99"/>
      <c r="O56" s="99">
        <f t="shared" si="5"/>
        <v>8194</v>
      </c>
      <c r="Y56" s="110"/>
    </row>
    <row r="57" spans="2:25" s="109" customFormat="1" ht="12">
      <c r="B57" s="99" t="s">
        <v>88</v>
      </c>
      <c r="C57" s="99"/>
      <c r="D57" s="99"/>
      <c r="E57" s="99"/>
      <c r="F57" s="99">
        <v>4700</v>
      </c>
      <c r="G57" s="99"/>
      <c r="H57" s="99"/>
      <c r="I57" s="99"/>
      <c r="J57" s="99"/>
      <c r="K57" s="99"/>
      <c r="L57" s="99"/>
      <c r="M57" s="99"/>
      <c r="N57" s="99"/>
      <c r="O57" s="99">
        <f t="shared" si="5"/>
        <v>4700</v>
      </c>
      <c r="Y57" s="110"/>
    </row>
    <row r="58" spans="2:25" s="109" customFormat="1" ht="12">
      <c r="B58" s="99" t="s">
        <v>58</v>
      </c>
      <c r="C58" s="99"/>
      <c r="D58" s="99"/>
      <c r="E58" s="99"/>
      <c r="F58" s="99"/>
      <c r="G58" s="99">
        <v>495</v>
      </c>
      <c r="H58" s="99">
        <v>390</v>
      </c>
      <c r="I58" s="99"/>
      <c r="J58" s="99"/>
      <c r="K58" s="99"/>
      <c r="L58" s="99"/>
      <c r="M58" s="99"/>
      <c r="N58" s="99"/>
      <c r="O58" s="99">
        <f t="shared" si="5"/>
        <v>885</v>
      </c>
      <c r="Y58" s="110"/>
    </row>
    <row r="59" spans="2:25" s="109" customFormat="1" ht="12">
      <c r="B59" s="99" t="s">
        <v>130</v>
      </c>
      <c r="C59" s="99"/>
      <c r="D59" s="99"/>
      <c r="E59" s="99"/>
      <c r="F59" s="99"/>
      <c r="G59" s="99"/>
      <c r="H59" s="99"/>
      <c r="I59" s="99">
        <v>161.76</v>
      </c>
      <c r="J59" s="99"/>
      <c r="K59" s="99"/>
      <c r="L59" s="99"/>
      <c r="M59" s="99"/>
      <c r="N59" s="99"/>
      <c r="O59" s="99">
        <f t="shared" si="5"/>
        <v>161.76</v>
      </c>
      <c r="Y59" s="110"/>
    </row>
    <row r="60" spans="2:25" s="109" customFormat="1" ht="12">
      <c r="B60" s="99" t="s">
        <v>134</v>
      </c>
      <c r="C60" s="99"/>
      <c r="D60" s="99"/>
      <c r="E60" s="99"/>
      <c r="F60" s="99"/>
      <c r="G60" s="99"/>
      <c r="H60" s="99"/>
      <c r="I60" s="99">
        <v>93.51</v>
      </c>
      <c r="J60" s="99"/>
      <c r="K60" s="99"/>
      <c r="L60" s="99">
        <v>60.7</v>
      </c>
      <c r="M60" s="99"/>
      <c r="N60" s="99"/>
      <c r="O60" s="99">
        <f t="shared" si="5"/>
        <v>154.21</v>
      </c>
      <c r="Y60" s="110"/>
    </row>
    <row r="61" spans="2:25" s="109" customFormat="1" ht="12">
      <c r="B61" s="99" t="s">
        <v>131</v>
      </c>
      <c r="C61" s="99"/>
      <c r="D61" s="99"/>
      <c r="E61" s="99"/>
      <c r="F61" s="99"/>
      <c r="G61" s="99"/>
      <c r="H61" s="99"/>
      <c r="I61" s="99">
        <v>75</v>
      </c>
      <c r="J61" s="99"/>
      <c r="K61" s="99"/>
      <c r="L61" s="99"/>
      <c r="M61" s="99"/>
      <c r="N61" s="99"/>
      <c r="O61" s="99">
        <f t="shared" si="5"/>
        <v>75</v>
      </c>
      <c r="Y61" s="110"/>
    </row>
    <row r="62" spans="2:25" s="109" customFormat="1" ht="12">
      <c r="B62" s="99" t="s">
        <v>231</v>
      </c>
      <c r="C62" s="99"/>
      <c r="D62" s="99"/>
      <c r="E62" s="99"/>
      <c r="F62" s="99"/>
      <c r="G62" s="99"/>
      <c r="H62" s="99"/>
      <c r="I62" s="99">
        <v>116</v>
      </c>
      <c r="J62" s="99"/>
      <c r="K62" s="99"/>
      <c r="L62" s="99"/>
      <c r="M62" s="99"/>
      <c r="N62" s="99"/>
      <c r="O62" s="99">
        <f t="shared" si="5"/>
        <v>116</v>
      </c>
      <c r="Y62" s="110"/>
    </row>
    <row r="63" spans="2:25" s="109" customFormat="1" ht="12">
      <c r="B63" s="111" t="s">
        <v>139</v>
      </c>
      <c r="C63" s="99"/>
      <c r="D63" s="99"/>
      <c r="E63" s="99"/>
      <c r="F63" s="99"/>
      <c r="G63" s="99"/>
      <c r="H63" s="99"/>
      <c r="I63" s="99"/>
      <c r="J63" s="99">
        <v>57.19</v>
      </c>
      <c r="K63" s="99"/>
      <c r="L63" s="99"/>
      <c r="M63" s="99"/>
      <c r="N63" s="99"/>
      <c r="O63" s="99">
        <f t="shared" si="5"/>
        <v>57.19</v>
      </c>
      <c r="Y63" s="110"/>
    </row>
    <row r="64" spans="2:25" s="109" customFormat="1" ht="12">
      <c r="B64" s="99" t="s">
        <v>155</v>
      </c>
      <c r="C64" s="99"/>
      <c r="D64" s="99"/>
      <c r="E64" s="99"/>
      <c r="F64" s="99"/>
      <c r="G64" s="99"/>
      <c r="H64" s="99"/>
      <c r="I64" s="99"/>
      <c r="J64" s="99">
        <v>381.24</v>
      </c>
      <c r="K64" s="99"/>
      <c r="L64" s="99">
        <v>425.43</v>
      </c>
      <c r="M64" s="99">
        <v>425.43</v>
      </c>
      <c r="N64" s="99">
        <v>567.23</v>
      </c>
      <c r="O64" s="99">
        <f t="shared" si="5"/>
        <v>1799.3300000000002</v>
      </c>
      <c r="Y64" s="110"/>
    </row>
    <row r="65" spans="2:25" s="109" customFormat="1" ht="12">
      <c r="B65" s="99" t="s">
        <v>156</v>
      </c>
      <c r="C65" s="99"/>
      <c r="D65" s="99"/>
      <c r="E65" s="99"/>
      <c r="F65" s="99"/>
      <c r="G65" s="99"/>
      <c r="H65" s="99"/>
      <c r="I65" s="99"/>
      <c r="J65" s="99">
        <v>49.56</v>
      </c>
      <c r="K65" s="99"/>
      <c r="L65" s="99"/>
      <c r="M65" s="99"/>
      <c r="N65" s="99"/>
      <c r="O65" s="99">
        <f t="shared" si="5"/>
        <v>49.56</v>
      </c>
      <c r="Y65" s="110"/>
    </row>
    <row r="66" spans="2:25" s="109" customFormat="1" ht="12">
      <c r="B66" s="99" t="s">
        <v>157</v>
      </c>
      <c r="C66" s="99"/>
      <c r="D66" s="99"/>
      <c r="E66" s="99"/>
      <c r="F66" s="99"/>
      <c r="G66" s="99"/>
      <c r="H66" s="99"/>
      <c r="I66" s="99"/>
      <c r="J66" s="99"/>
      <c r="K66" s="99">
        <v>160.75</v>
      </c>
      <c r="L66" s="99"/>
      <c r="M66" s="99"/>
      <c r="N66" s="99"/>
      <c r="O66" s="99">
        <f t="shared" si="5"/>
        <v>160.75</v>
      </c>
      <c r="Y66" s="110"/>
    </row>
    <row r="67" spans="2:25" s="109" customFormat="1" ht="12">
      <c r="B67" s="99" t="s">
        <v>158</v>
      </c>
      <c r="C67" s="99"/>
      <c r="D67" s="99"/>
      <c r="E67" s="99"/>
      <c r="F67" s="99"/>
      <c r="G67" s="99"/>
      <c r="H67" s="99"/>
      <c r="I67" s="99"/>
      <c r="J67" s="99"/>
      <c r="K67" s="99">
        <v>19039.23</v>
      </c>
      <c r="L67" s="99"/>
      <c r="M67" s="99"/>
      <c r="N67" s="99"/>
      <c r="O67" s="99">
        <f t="shared" si="5"/>
        <v>19039.23</v>
      </c>
      <c r="Y67" s="110"/>
    </row>
    <row r="68" spans="2:25" s="109" customFormat="1" ht="12">
      <c r="B68" s="99" t="s">
        <v>159</v>
      </c>
      <c r="C68" s="99"/>
      <c r="D68" s="99"/>
      <c r="E68" s="99"/>
      <c r="F68" s="99"/>
      <c r="G68" s="99"/>
      <c r="H68" s="99"/>
      <c r="I68" s="99"/>
      <c r="J68" s="99"/>
      <c r="K68" s="99">
        <v>17.5</v>
      </c>
      <c r="L68" s="99"/>
      <c r="M68" s="99"/>
      <c r="N68" s="99"/>
      <c r="O68" s="99">
        <f t="shared" si="5"/>
        <v>17.5</v>
      </c>
      <c r="Y68" s="110"/>
    </row>
    <row r="69" spans="2:25" s="109" customFormat="1" ht="12">
      <c r="B69" s="99" t="s">
        <v>232</v>
      </c>
      <c r="C69" s="99"/>
      <c r="D69" s="99"/>
      <c r="E69" s="99"/>
      <c r="F69" s="99"/>
      <c r="G69" s="99"/>
      <c r="H69" s="99"/>
      <c r="I69" s="99"/>
      <c r="J69" s="99">
        <v>1095</v>
      </c>
      <c r="K69" s="99"/>
      <c r="L69" s="99"/>
      <c r="M69" s="99"/>
      <c r="N69" s="99"/>
      <c r="O69" s="99">
        <f t="shared" si="5"/>
        <v>1095</v>
      </c>
      <c r="Y69" s="110"/>
    </row>
    <row r="70" spans="2:25" s="109" customFormat="1" ht="12">
      <c r="B70" s="99" t="s">
        <v>143</v>
      </c>
      <c r="C70" s="99"/>
      <c r="D70" s="99"/>
      <c r="E70" s="99"/>
      <c r="F70" s="99"/>
      <c r="G70" s="99"/>
      <c r="H70" s="99"/>
      <c r="I70" s="99"/>
      <c r="J70" s="99"/>
      <c r="K70" s="99">
        <v>1390</v>
      </c>
      <c r="L70" s="99"/>
      <c r="M70" s="99"/>
      <c r="N70" s="99"/>
      <c r="O70" s="99">
        <f t="shared" si="5"/>
        <v>1390</v>
      </c>
      <c r="Y70" s="110"/>
    </row>
    <row r="71" spans="2:25" s="109" customFormat="1" ht="12">
      <c r="B71" s="99" t="s">
        <v>187</v>
      </c>
      <c r="C71" s="99"/>
      <c r="D71" s="99"/>
      <c r="E71" s="99"/>
      <c r="F71" s="99"/>
      <c r="G71" s="99"/>
      <c r="H71" s="99"/>
      <c r="I71" s="99"/>
      <c r="J71" s="99"/>
      <c r="K71" s="99"/>
      <c r="L71" s="99">
        <v>5000</v>
      </c>
      <c r="M71" s="99"/>
      <c r="N71" s="99"/>
      <c r="O71" s="99">
        <f t="shared" si="5"/>
        <v>5000</v>
      </c>
      <c r="Y71" s="110"/>
    </row>
    <row r="72" spans="2:25" s="109" customFormat="1" ht="12">
      <c r="B72" s="99" t="s">
        <v>161</v>
      </c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>
        <v>524.69</v>
      </c>
      <c r="N72" s="99"/>
      <c r="O72" s="99">
        <f t="shared" si="5"/>
        <v>524.69</v>
      </c>
      <c r="Y72" s="110"/>
    </row>
    <row r="73" spans="2:25" s="109" customFormat="1" ht="12">
      <c r="B73" s="99" t="s">
        <v>233</v>
      </c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>
        <v>500</v>
      </c>
      <c r="N73" s="99"/>
      <c r="O73" s="99">
        <f t="shared" si="5"/>
        <v>500</v>
      </c>
      <c r="Y73" s="110"/>
    </row>
    <row r="74" spans="2:25" s="109" customFormat="1" ht="12">
      <c r="B74" s="99" t="s">
        <v>234</v>
      </c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>
        <v>1000</v>
      </c>
      <c r="N74" s="99"/>
      <c r="O74" s="99">
        <f t="shared" si="5"/>
        <v>1000</v>
      </c>
      <c r="Y74" s="110"/>
    </row>
    <row r="75" spans="2:25" s="109" customFormat="1" ht="12">
      <c r="B75" s="99" t="s">
        <v>191</v>
      </c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>
        <v>10.31</v>
      </c>
      <c r="N75" s="99"/>
      <c r="O75" s="99">
        <f t="shared" si="5"/>
        <v>10.31</v>
      </c>
      <c r="Y75" s="110"/>
    </row>
    <row r="76" spans="2:25" s="109" customFormat="1" ht="12">
      <c r="B76" s="99" t="s">
        <v>165</v>
      </c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>
        <v>127.08</v>
      </c>
      <c r="O76" s="99">
        <f t="shared" si="5"/>
        <v>127.08</v>
      </c>
      <c r="Y76" s="110"/>
    </row>
    <row r="77" spans="2:25" s="109" customFormat="1" ht="12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>
        <f t="shared" si="5"/>
        <v>0</v>
      </c>
      <c r="Y77" s="110"/>
    </row>
    <row r="78" spans="2:25" s="109" customFormat="1" ht="12">
      <c r="B78" s="108" t="s">
        <v>16</v>
      </c>
      <c r="C78" s="108">
        <f aca="true" t="shared" si="6" ref="C78:O78">SUM(C30:C77)</f>
        <v>51713.74</v>
      </c>
      <c r="D78" s="108">
        <f t="shared" si="6"/>
        <v>65017.66</v>
      </c>
      <c r="E78" s="108">
        <f t="shared" si="6"/>
        <v>59734.340000000004</v>
      </c>
      <c r="F78" s="108">
        <f t="shared" si="6"/>
        <v>93093.52000000002</v>
      </c>
      <c r="G78" s="108">
        <f t="shared" si="6"/>
        <v>89336.18000000001</v>
      </c>
      <c r="H78" s="108">
        <f t="shared" si="6"/>
        <v>62169.62</v>
      </c>
      <c r="I78" s="108">
        <f t="shared" si="6"/>
        <v>68680.89</v>
      </c>
      <c r="J78" s="108">
        <f t="shared" si="6"/>
        <v>54384.01999999999</v>
      </c>
      <c r="K78" s="108">
        <f t="shared" si="6"/>
        <v>77558.99</v>
      </c>
      <c r="L78" s="108">
        <f t="shared" si="6"/>
        <v>60770.619999999995</v>
      </c>
      <c r="M78" s="108">
        <f t="shared" si="6"/>
        <v>55006.79</v>
      </c>
      <c r="N78" s="108">
        <f t="shared" si="6"/>
        <v>65000.700000000004</v>
      </c>
      <c r="O78" s="108">
        <f t="shared" si="6"/>
        <v>805008.6399999998</v>
      </c>
      <c r="Y78" s="110"/>
    </row>
    <row r="80" spans="2:15" ht="12">
      <c r="B80" s="152" t="s">
        <v>149</v>
      </c>
      <c r="C80" s="153">
        <f aca="true" t="shared" si="7" ref="C80:O80">C11+C22-C78</f>
        <v>89.99000000000524</v>
      </c>
      <c r="D80" s="153">
        <f t="shared" si="7"/>
        <v>-7868.93</v>
      </c>
      <c r="E80" s="188">
        <f t="shared" si="7"/>
        <v>16481.489999999983</v>
      </c>
      <c r="F80" s="153">
        <f t="shared" si="7"/>
        <v>-8461.610000000044</v>
      </c>
      <c r="G80" s="153">
        <f t="shared" si="7"/>
        <v>-19480.050000000047</v>
      </c>
      <c r="H80" s="153">
        <f t="shared" si="7"/>
        <v>-13019.590000000047</v>
      </c>
      <c r="I80" s="153">
        <f t="shared" si="7"/>
        <v>8783.41999999994</v>
      </c>
      <c r="J80" s="153">
        <f t="shared" si="7"/>
        <v>31830.579999999944</v>
      </c>
      <c r="K80" s="153">
        <f t="shared" si="7"/>
        <v>34435.62999999993</v>
      </c>
      <c r="L80" s="189">
        <f t="shared" si="7"/>
        <v>64221.73999999993</v>
      </c>
      <c r="M80" s="153">
        <f t="shared" si="7"/>
        <v>96172.79999999993</v>
      </c>
      <c r="N80" s="153">
        <f t="shared" si="7"/>
        <v>115370.3899999999</v>
      </c>
      <c r="O80" s="154">
        <f t="shared" si="7"/>
        <v>112828.8200000003</v>
      </c>
    </row>
    <row r="81" spans="2:15" ht="12">
      <c r="B81" s="93"/>
      <c r="C81" s="93"/>
      <c r="D81" s="93"/>
      <c r="E81" s="179"/>
      <c r="F81" s="93"/>
      <c r="G81" s="93"/>
      <c r="H81" s="93"/>
      <c r="I81" s="93"/>
      <c r="J81" s="93"/>
      <c r="K81" s="93"/>
      <c r="L81" s="190"/>
      <c r="M81" s="93"/>
      <c r="N81" s="93"/>
      <c r="O81" s="94"/>
    </row>
    <row r="82" spans="2:15" ht="12" hidden="1">
      <c r="B82" s="185"/>
      <c r="C82" s="186"/>
      <c r="D82" s="186"/>
      <c r="E82" s="191"/>
      <c r="F82" s="186"/>
      <c r="G82" s="186"/>
      <c r="H82" s="186"/>
      <c r="I82" s="186"/>
      <c r="J82" s="186"/>
      <c r="K82" s="186"/>
      <c r="L82" s="192"/>
      <c r="M82" s="186"/>
      <c r="N82" s="186"/>
      <c r="O82" s="182"/>
    </row>
    <row r="83" spans="2:15" s="87" customFormat="1" ht="12">
      <c r="B83" s="89"/>
      <c r="C83" s="89"/>
      <c r="D83" s="89"/>
      <c r="E83" s="193"/>
      <c r="F83" s="89"/>
      <c r="G83" s="89"/>
      <c r="H83" s="89"/>
      <c r="I83" s="89"/>
      <c r="J83" s="89"/>
      <c r="K83" s="89"/>
      <c r="L83" s="164"/>
      <c r="M83" s="89"/>
      <c r="N83" s="89"/>
      <c r="O83" s="89"/>
    </row>
    <row r="84" ht="12">
      <c r="B84" s="86" t="s">
        <v>24</v>
      </c>
    </row>
    <row r="85" ht="12">
      <c r="B85" s="86" t="s">
        <v>25</v>
      </c>
    </row>
  </sheetData>
  <sheetProtection/>
  <mergeCells count="3">
    <mergeCell ref="B1:O1"/>
    <mergeCell ref="B2:O2"/>
    <mergeCell ref="B3:O3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4" sqref="O24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Y64"/>
  <sheetViews>
    <sheetView zoomScalePageLayoutView="0" workbookViewId="0" topLeftCell="A1">
      <pane xSplit="2" ySplit="4" topLeftCell="D38" activePane="bottomRight" state="frozen"/>
      <selection pane="topLeft" activeCell="K72" sqref="K72"/>
      <selection pane="topRight" activeCell="K72" sqref="K72"/>
      <selection pane="bottomLeft" activeCell="K72" sqref="K72"/>
      <selection pane="bottomRight" activeCell="Q41" sqref="Q41"/>
    </sheetView>
  </sheetViews>
  <sheetFormatPr defaultColWidth="26.75390625" defaultRowHeight="12.75"/>
  <cols>
    <col min="1" max="1" width="29.25390625" style="86" customWidth="1"/>
    <col min="2" max="2" width="39.875" style="86" customWidth="1"/>
    <col min="3" max="3" width="0.12890625" style="86" customWidth="1"/>
    <col min="4" max="5" width="9.375" style="86" hidden="1" customWidth="1"/>
    <col min="6" max="6" width="10.25390625" style="86" hidden="1" customWidth="1"/>
    <col min="7" max="7" width="9.125" style="86" hidden="1" customWidth="1"/>
    <col min="8" max="8" width="9.00390625" style="86" hidden="1" customWidth="1"/>
    <col min="9" max="9" width="8.875" style="86" hidden="1" customWidth="1"/>
    <col min="10" max="10" width="9.25390625" style="86" hidden="1" customWidth="1"/>
    <col min="11" max="11" width="11.25390625" style="86" hidden="1" customWidth="1"/>
    <col min="12" max="12" width="9.75390625" style="86" hidden="1" customWidth="1"/>
    <col min="13" max="13" width="8.75390625" style="86" hidden="1" customWidth="1"/>
    <col min="14" max="14" width="9.25390625" style="86" hidden="1" customWidth="1"/>
    <col min="15" max="15" width="9.25390625" style="87" customWidth="1"/>
    <col min="16" max="16" width="7.625" style="86" customWidth="1"/>
    <col min="17" max="24" width="26.75390625" style="86" customWidth="1"/>
    <col min="25" max="25" width="26.75390625" style="87" customWidth="1"/>
    <col min="26" max="16384" width="26.75390625" style="86" customWidth="1"/>
  </cols>
  <sheetData>
    <row r="1" spans="2:15" ht="12.75">
      <c r="B1" s="196" t="s">
        <v>151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2:16" ht="12.75">
      <c r="B2" s="196" t="s">
        <v>152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85"/>
    </row>
    <row r="3" spans="2:16" ht="12">
      <c r="B3" s="197" t="s">
        <v>102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85"/>
    </row>
    <row r="4" spans="2:15" ht="25.5">
      <c r="B4" s="90" t="s">
        <v>103</v>
      </c>
      <c r="C4" s="91" t="s">
        <v>0</v>
      </c>
      <c r="D4" s="91" t="s">
        <v>1</v>
      </c>
      <c r="E4" s="91" t="s">
        <v>2</v>
      </c>
      <c r="F4" s="91" t="s">
        <v>3</v>
      </c>
      <c r="G4" s="91" t="s">
        <v>4</v>
      </c>
      <c r="H4" s="91" t="s">
        <v>5</v>
      </c>
      <c r="I4" s="91" t="s">
        <v>6</v>
      </c>
      <c r="J4" s="91" t="s">
        <v>7</v>
      </c>
      <c r="K4" s="91" t="s">
        <v>8</v>
      </c>
      <c r="L4" s="91" t="s">
        <v>9</v>
      </c>
      <c r="M4" s="91" t="s">
        <v>10</v>
      </c>
      <c r="N4" s="91" t="s">
        <v>11</v>
      </c>
      <c r="O4" s="69" t="s">
        <v>150</v>
      </c>
    </row>
    <row r="5" spans="2:15" ht="12">
      <c r="B5" s="94" t="s">
        <v>43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4"/>
    </row>
    <row r="6" spans="2:15" ht="12">
      <c r="B6" s="93" t="s">
        <v>13</v>
      </c>
      <c r="C6" s="93">
        <v>-3670.79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>
        <f>C6+D6+E6+F6+G6+H6+I6+J6+K6+L6+M6+N6</f>
        <v>-3670.79</v>
      </c>
    </row>
    <row r="7" spans="2:15" s="87" customFormat="1" ht="12">
      <c r="B7" s="94" t="s">
        <v>16</v>
      </c>
      <c r="C7" s="94">
        <f>C6</f>
        <v>-3670.79</v>
      </c>
      <c r="D7" s="94">
        <f aca="true" t="shared" si="0" ref="D7:I7">C57</f>
        <v>-1313.1900000000005</v>
      </c>
      <c r="E7" s="94">
        <f t="shared" si="0"/>
        <v>-3574.1100000000006</v>
      </c>
      <c r="F7" s="94">
        <f t="shared" si="0"/>
        <v>-2780.2000000000044</v>
      </c>
      <c r="G7" s="94">
        <f t="shared" si="0"/>
        <v>-3460.810000000005</v>
      </c>
      <c r="H7" s="94">
        <f t="shared" si="0"/>
        <v>-10329.660000000005</v>
      </c>
      <c r="I7" s="94">
        <f t="shared" si="0"/>
        <v>-7982.060000000005</v>
      </c>
      <c r="J7" s="94">
        <f>I57</f>
        <v>-12728.67</v>
      </c>
      <c r="K7" s="94">
        <f>J57</f>
        <v>-8526.710000000003</v>
      </c>
      <c r="L7" s="94">
        <f>K57</f>
        <v>-11859.440000000006</v>
      </c>
      <c r="M7" s="94">
        <f>L57</f>
        <v>-10404.620000000008</v>
      </c>
      <c r="N7" s="94">
        <f>M57</f>
        <v>-7468.670000000009</v>
      </c>
      <c r="O7" s="94">
        <f>O6</f>
        <v>-3670.79</v>
      </c>
    </row>
    <row r="8" spans="2:15" ht="12"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4"/>
    </row>
    <row r="9" spans="2:25" s="97" customFormat="1" ht="12">
      <c r="B9" s="95" t="s">
        <v>17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5"/>
      <c r="Y9" s="98"/>
    </row>
    <row r="10" spans="2:25" s="97" customFormat="1" ht="12">
      <c r="B10" s="96" t="s">
        <v>13</v>
      </c>
      <c r="C10" s="96">
        <v>14379.42</v>
      </c>
      <c r="D10" s="96">
        <v>14379.42</v>
      </c>
      <c r="E10" s="96">
        <v>14379.42</v>
      </c>
      <c r="F10" s="96">
        <v>14379.42</v>
      </c>
      <c r="G10" s="96">
        <v>14379.42</v>
      </c>
      <c r="H10" s="96">
        <v>14379.42</v>
      </c>
      <c r="I10" s="96">
        <v>14379.42</v>
      </c>
      <c r="J10" s="96">
        <v>14379.42</v>
      </c>
      <c r="K10" s="96">
        <v>14379.42</v>
      </c>
      <c r="L10" s="96">
        <v>14379.42</v>
      </c>
      <c r="M10" s="96">
        <v>14379.42</v>
      </c>
      <c r="N10" s="96">
        <v>14379.42</v>
      </c>
      <c r="O10" s="96">
        <f>C10+D10+E10+F10+G10+H10+I10+J10+K10+L10+M10+N10</f>
        <v>172553.04000000004</v>
      </c>
      <c r="Y10" s="98"/>
    </row>
    <row r="11" spans="2:15" s="98" customFormat="1" ht="12">
      <c r="B11" s="95" t="s">
        <v>16</v>
      </c>
      <c r="C11" s="95">
        <f aca="true" t="shared" si="1" ref="C11:N11">SUM(C9:C10)</f>
        <v>14379.42</v>
      </c>
      <c r="D11" s="95">
        <f t="shared" si="1"/>
        <v>14379.42</v>
      </c>
      <c r="E11" s="95">
        <f t="shared" si="1"/>
        <v>14379.42</v>
      </c>
      <c r="F11" s="95">
        <f t="shared" si="1"/>
        <v>14379.42</v>
      </c>
      <c r="G11" s="95">
        <f t="shared" si="1"/>
        <v>14379.42</v>
      </c>
      <c r="H11" s="95">
        <f t="shared" si="1"/>
        <v>14379.42</v>
      </c>
      <c r="I11" s="95">
        <f t="shared" si="1"/>
        <v>14379.42</v>
      </c>
      <c r="J11" s="95">
        <f t="shared" si="1"/>
        <v>14379.42</v>
      </c>
      <c r="K11" s="95">
        <f t="shared" si="1"/>
        <v>14379.42</v>
      </c>
      <c r="L11" s="95">
        <f t="shared" si="1"/>
        <v>14379.42</v>
      </c>
      <c r="M11" s="95">
        <f t="shared" si="1"/>
        <v>14379.42</v>
      </c>
      <c r="N11" s="95">
        <f t="shared" si="1"/>
        <v>14379.42</v>
      </c>
      <c r="O11" s="95">
        <f>C11+D11+E11+F11+G11+H11+I11+J11+K11+L11+M11+N11</f>
        <v>172553.04000000004</v>
      </c>
    </row>
    <row r="12" spans="2:15" ht="12"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4"/>
    </row>
    <row r="13" spans="2:25" s="102" customFormat="1" ht="12">
      <c r="B13" s="100" t="s">
        <v>18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0"/>
      <c r="Y13" s="103"/>
    </row>
    <row r="14" spans="2:25" s="102" customFormat="1" ht="12">
      <c r="B14" s="101" t="s">
        <v>13</v>
      </c>
      <c r="C14" s="101">
        <f>15181.62+1000</f>
        <v>16181.62</v>
      </c>
      <c r="D14" s="101">
        <v>10366.01</v>
      </c>
      <c r="E14" s="101">
        <f>11916.89+500</f>
        <v>12416.89</v>
      </c>
      <c r="F14" s="101">
        <f>10465.82+1000</f>
        <v>11465.82</v>
      </c>
      <c r="G14" s="101">
        <f>10682.62+1000</f>
        <v>11682.62</v>
      </c>
      <c r="H14" s="101">
        <f>12691.74+1000+182.43</f>
        <v>13874.17</v>
      </c>
      <c r="I14" s="101">
        <f>14494.94+1000</f>
        <v>15494.94</v>
      </c>
      <c r="J14" s="101">
        <f>14397.32+1000+250</f>
        <v>15647.32</v>
      </c>
      <c r="K14" s="101">
        <f>15687.35+1000-7780.43</f>
        <v>8906.919999999998</v>
      </c>
      <c r="L14" s="101">
        <v>13204.91</v>
      </c>
      <c r="M14" s="101">
        <v>13481.32</v>
      </c>
      <c r="N14" s="101">
        <v>9469.01</v>
      </c>
      <c r="O14" s="101">
        <f>C14+D14+E14+F14+G14+H14+I14+J14+K14+L14+M14+N14</f>
        <v>152191.55000000002</v>
      </c>
      <c r="Y14" s="103"/>
    </row>
    <row r="15" spans="2:15" s="103" customFormat="1" ht="12">
      <c r="B15" s="100" t="s">
        <v>16</v>
      </c>
      <c r="C15" s="100">
        <f aca="true" t="shared" si="2" ref="C15:O15">SUM(C14:C14)</f>
        <v>16181.62</v>
      </c>
      <c r="D15" s="100">
        <f t="shared" si="2"/>
        <v>10366.01</v>
      </c>
      <c r="E15" s="100">
        <f t="shared" si="2"/>
        <v>12416.89</v>
      </c>
      <c r="F15" s="100">
        <f t="shared" si="2"/>
        <v>11465.82</v>
      </c>
      <c r="G15" s="100">
        <f t="shared" si="2"/>
        <v>11682.62</v>
      </c>
      <c r="H15" s="100">
        <f t="shared" si="2"/>
        <v>13874.17</v>
      </c>
      <c r="I15" s="100">
        <f t="shared" si="2"/>
        <v>15494.94</v>
      </c>
      <c r="J15" s="100">
        <f t="shared" si="2"/>
        <v>15647.32</v>
      </c>
      <c r="K15" s="100">
        <f t="shared" si="2"/>
        <v>8906.919999999998</v>
      </c>
      <c r="L15" s="100">
        <f t="shared" si="2"/>
        <v>13204.91</v>
      </c>
      <c r="M15" s="100">
        <f t="shared" si="2"/>
        <v>13481.32</v>
      </c>
      <c r="N15" s="100">
        <f t="shared" si="2"/>
        <v>9469.01</v>
      </c>
      <c r="O15" s="100">
        <f t="shared" si="2"/>
        <v>152191.55000000002</v>
      </c>
    </row>
    <row r="16" spans="2:15" ht="12"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4"/>
    </row>
    <row r="17" spans="2:15" ht="12">
      <c r="B17" s="94" t="s">
        <v>19</v>
      </c>
      <c r="C17" s="104">
        <f aca="true" t="shared" si="3" ref="C17:O17">C15/C11</f>
        <v>1.125331897948596</v>
      </c>
      <c r="D17" s="104">
        <f t="shared" si="3"/>
        <v>0.720892080487252</v>
      </c>
      <c r="E17" s="104">
        <f t="shared" si="3"/>
        <v>0.8635181391182676</v>
      </c>
      <c r="F17" s="104">
        <f t="shared" si="3"/>
        <v>0.7973770847502889</v>
      </c>
      <c r="G17" s="104">
        <f t="shared" si="3"/>
        <v>0.8124541879992379</v>
      </c>
      <c r="H17" s="104">
        <f t="shared" si="3"/>
        <v>0.9648629777835267</v>
      </c>
      <c r="I17" s="104">
        <f t="shared" si="3"/>
        <v>1.0775775378979124</v>
      </c>
      <c r="J17" s="104">
        <f t="shared" si="3"/>
        <v>1.0881746273493647</v>
      </c>
      <c r="K17" s="104">
        <f t="shared" si="3"/>
        <v>0.6194213674821375</v>
      </c>
      <c r="L17" s="104">
        <f t="shared" si="3"/>
        <v>0.9183200713241563</v>
      </c>
      <c r="M17" s="104">
        <f t="shared" si="3"/>
        <v>0.9375426825282244</v>
      </c>
      <c r="N17" s="104">
        <f t="shared" si="3"/>
        <v>0.6585112612330678</v>
      </c>
      <c r="O17" s="105">
        <f t="shared" si="3"/>
        <v>0.8819986596585025</v>
      </c>
    </row>
    <row r="18" spans="2:15" ht="12">
      <c r="B18" s="9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6"/>
    </row>
    <row r="19" spans="2:15" ht="12">
      <c r="B19" s="94" t="s">
        <v>20</v>
      </c>
      <c r="C19" s="107">
        <f aca="true" t="shared" si="4" ref="C19:O19">C11-C15</f>
        <v>-1802.2000000000007</v>
      </c>
      <c r="D19" s="107">
        <f t="shared" si="4"/>
        <v>4013.41</v>
      </c>
      <c r="E19" s="107">
        <f t="shared" si="4"/>
        <v>1962.5300000000007</v>
      </c>
      <c r="F19" s="107">
        <f t="shared" si="4"/>
        <v>2913.6000000000004</v>
      </c>
      <c r="G19" s="107">
        <f t="shared" si="4"/>
        <v>2696.7999999999993</v>
      </c>
      <c r="H19" s="107">
        <f t="shared" si="4"/>
        <v>505.25</v>
      </c>
      <c r="I19" s="107">
        <f t="shared" si="4"/>
        <v>-1115.5200000000004</v>
      </c>
      <c r="J19" s="107">
        <f t="shared" si="4"/>
        <v>-1267.8999999999996</v>
      </c>
      <c r="K19" s="107">
        <f t="shared" si="4"/>
        <v>5472.500000000002</v>
      </c>
      <c r="L19" s="107">
        <f t="shared" si="4"/>
        <v>1174.5100000000002</v>
      </c>
      <c r="M19" s="107">
        <f t="shared" si="4"/>
        <v>898.1000000000004</v>
      </c>
      <c r="N19" s="107">
        <f t="shared" si="4"/>
        <v>4910.41</v>
      </c>
      <c r="O19" s="107">
        <f t="shared" si="4"/>
        <v>20361.49000000002</v>
      </c>
    </row>
    <row r="20" spans="2:15" ht="12"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4"/>
    </row>
    <row r="21" spans="2:25" s="109" customFormat="1" ht="12">
      <c r="B21" s="108" t="s">
        <v>21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108"/>
      <c r="Y21" s="110"/>
    </row>
    <row r="22" spans="2:25" s="109" customFormat="1" ht="12"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108"/>
      <c r="Y22" s="110"/>
    </row>
    <row r="23" spans="2:25" s="109" customFormat="1" ht="12">
      <c r="B23" s="99" t="s">
        <v>22</v>
      </c>
      <c r="C23" s="99">
        <v>235.87</v>
      </c>
      <c r="D23" s="99">
        <v>186.04</v>
      </c>
      <c r="E23" s="99">
        <v>463.54</v>
      </c>
      <c r="F23" s="99">
        <f>255.1+52.42</f>
        <v>307.52</v>
      </c>
      <c r="G23" s="99">
        <v>1688.1</v>
      </c>
      <c r="H23" s="99">
        <f>190.09+53.96</f>
        <v>244.05</v>
      </c>
      <c r="I23" s="99">
        <v>269.36</v>
      </c>
      <c r="J23" s="99">
        <v>274.95</v>
      </c>
      <c r="K23" s="99">
        <v>246.08</v>
      </c>
      <c r="L23" s="99">
        <v>343.17</v>
      </c>
      <c r="M23" s="99">
        <v>111.11</v>
      </c>
      <c r="N23" s="99">
        <v>291.76</v>
      </c>
      <c r="O23" s="99">
        <f>C23+D23+E23+F23+G23+H23+I23+J23+K23+L23+M23+N23</f>
        <v>4661.549999999999</v>
      </c>
      <c r="Y23" s="110"/>
    </row>
    <row r="24" spans="2:25" s="109" customFormat="1" ht="12">
      <c r="B24" s="99" t="s">
        <v>185</v>
      </c>
      <c r="C24" s="99">
        <v>5061.55</v>
      </c>
      <c r="D24" s="99">
        <v>5061.55</v>
      </c>
      <c r="E24" s="99">
        <v>5061.55</v>
      </c>
      <c r="F24" s="99">
        <v>5061.55</v>
      </c>
      <c r="G24" s="99">
        <v>5061.55</v>
      </c>
      <c r="H24" s="99">
        <v>5061.55</v>
      </c>
      <c r="I24" s="99">
        <v>5061.55</v>
      </c>
      <c r="J24" s="99">
        <v>4875.67</v>
      </c>
      <c r="K24" s="99">
        <v>4966.27</v>
      </c>
      <c r="L24" s="99">
        <v>4966.27</v>
      </c>
      <c r="M24" s="99">
        <v>4966.27</v>
      </c>
      <c r="N24" s="99">
        <v>4966.27</v>
      </c>
      <c r="O24" s="99">
        <f aca="true" t="shared" si="5" ref="O24:O54">C24+D24+E24+F24+G24+H24+I24+J24+K24+L24+M24+N24</f>
        <v>60171.600000000006</v>
      </c>
      <c r="Y24" s="110"/>
    </row>
    <row r="25" spans="2:25" s="109" customFormat="1" ht="12">
      <c r="B25" s="99" t="s">
        <v>31</v>
      </c>
      <c r="C25" s="99">
        <f>711.5+585.07</f>
        <v>1296.5700000000002</v>
      </c>
      <c r="D25" s="99">
        <f>711.5+1131.25</f>
        <v>1842.75</v>
      </c>
      <c r="E25" s="99">
        <f>711.5+654.86</f>
        <v>1366.3600000000001</v>
      </c>
      <c r="F25" s="99">
        <v>408</v>
      </c>
      <c r="G25" s="99">
        <v>408</v>
      </c>
      <c r="H25" s="99">
        <v>408</v>
      </c>
      <c r="I25" s="99">
        <v>1380.8</v>
      </c>
      <c r="J25" s="99">
        <v>1056.03</v>
      </c>
      <c r="K25" s="99">
        <v>1056.03</v>
      </c>
      <c r="L25" s="99">
        <v>1056.03</v>
      </c>
      <c r="M25" s="99">
        <v>1056.03</v>
      </c>
      <c r="N25" s="99">
        <v>1056.03</v>
      </c>
      <c r="O25" s="99">
        <f>C25+D25+E25+F25+G25+H25+I25+J25+K25+L25+M25+N25+539.6</f>
        <v>12930.230000000003</v>
      </c>
      <c r="Y25" s="110"/>
    </row>
    <row r="26" spans="2:25" s="109" customFormat="1" ht="12">
      <c r="B26" s="99" t="s">
        <v>32</v>
      </c>
      <c r="C26" s="99">
        <v>1326.25</v>
      </c>
      <c r="D26" s="99">
        <v>2644.55</v>
      </c>
      <c r="E26" s="99">
        <f>1308.54+1336</f>
        <v>2644.54</v>
      </c>
      <c r="F26" s="99">
        <f>1445.95+1154.2</f>
        <v>2600.15</v>
      </c>
      <c r="G26" s="99">
        <f>1438.39+1154.2</f>
        <v>2592.59</v>
      </c>
      <c r="H26" s="99">
        <f>1295.03+1305.11</f>
        <v>2600.14</v>
      </c>
      <c r="I26" s="99">
        <v>2600.14</v>
      </c>
      <c r="J26" s="99">
        <f>1888.59</f>
        <v>1888.59</v>
      </c>
      <c r="K26" s="99">
        <f>711.55+1133.15+1466.99</f>
        <v>3311.69</v>
      </c>
      <c r="L26" s="99">
        <f>1888.59+711.55</f>
        <v>2600.14</v>
      </c>
      <c r="M26" s="99">
        <v>1520.95</v>
      </c>
      <c r="N26" s="99">
        <f>1348.99+1079.19+1251.15</f>
        <v>3679.3300000000004</v>
      </c>
      <c r="O26" s="99">
        <f t="shared" si="5"/>
        <v>30009.06</v>
      </c>
      <c r="Y26" s="110"/>
    </row>
    <row r="27" spans="2:25" s="109" customFormat="1" ht="12">
      <c r="B27" s="99" t="s">
        <v>26</v>
      </c>
      <c r="C27" s="99">
        <v>3374.8</v>
      </c>
      <c r="D27" s="99">
        <v>167.53</v>
      </c>
      <c r="E27" s="99">
        <v>167.53</v>
      </c>
      <c r="F27" s="99">
        <v>636.95</v>
      </c>
      <c r="G27" s="99">
        <v>167.22</v>
      </c>
      <c r="H27" s="99">
        <v>167.53</v>
      </c>
      <c r="I27" s="99">
        <f>167.53+7242.6</f>
        <v>7410.13</v>
      </c>
      <c r="J27" s="99">
        <v>374</v>
      </c>
      <c r="K27" s="99">
        <v>206.47</v>
      </c>
      <c r="L27" s="99">
        <v>206.47</v>
      </c>
      <c r="M27" s="99">
        <v>206.47</v>
      </c>
      <c r="N27" s="99">
        <v>206.47</v>
      </c>
      <c r="O27" s="99">
        <f t="shared" si="5"/>
        <v>13291.569999999998</v>
      </c>
      <c r="Y27" s="110"/>
    </row>
    <row r="28" spans="2:25" s="109" customFormat="1" ht="12">
      <c r="B28" s="111" t="s">
        <v>33</v>
      </c>
      <c r="C28" s="99">
        <v>15.6</v>
      </c>
      <c r="D28" s="99">
        <v>15.6</v>
      </c>
      <c r="E28" s="99">
        <v>15.6</v>
      </c>
      <c r="F28" s="99">
        <v>15.6</v>
      </c>
      <c r="G28" s="99">
        <v>15.6</v>
      </c>
      <c r="H28" s="99">
        <v>15.6</v>
      </c>
      <c r="I28" s="99">
        <v>15.6</v>
      </c>
      <c r="J28" s="99">
        <v>15.6</v>
      </c>
      <c r="K28" s="99">
        <v>15.6</v>
      </c>
      <c r="L28" s="99">
        <v>15.6</v>
      </c>
      <c r="M28" s="99">
        <v>15.6</v>
      </c>
      <c r="N28" s="99">
        <v>15.6</v>
      </c>
      <c r="O28" s="99">
        <f t="shared" si="5"/>
        <v>187.19999999999996</v>
      </c>
      <c r="Y28" s="110"/>
    </row>
    <row r="29" spans="2:25" s="109" customFormat="1" ht="12">
      <c r="B29" s="99" t="s">
        <v>36</v>
      </c>
      <c r="C29" s="99">
        <v>901.95</v>
      </c>
      <c r="D29" s="99">
        <v>901.95</v>
      </c>
      <c r="E29" s="99">
        <v>901.95</v>
      </c>
      <c r="F29" s="99">
        <v>901.95</v>
      </c>
      <c r="G29" s="99">
        <v>901.95</v>
      </c>
      <c r="H29" s="99">
        <v>531.8</v>
      </c>
      <c r="I29" s="99">
        <f>1073.97+393.67</f>
        <v>1467.64</v>
      </c>
      <c r="J29" s="99">
        <f>600.34+360.18</f>
        <v>960.52</v>
      </c>
      <c r="K29" s="99">
        <f>595.23+365.3</f>
        <v>960.53</v>
      </c>
      <c r="L29" s="99">
        <f>649.03+311.5</f>
        <v>960.53</v>
      </c>
      <c r="M29" s="99">
        <f>629.56+330.96</f>
        <v>960.52</v>
      </c>
      <c r="N29" s="99">
        <f>669.57+290.95</f>
        <v>960.52</v>
      </c>
      <c r="O29" s="99">
        <f t="shared" si="5"/>
        <v>11311.810000000003</v>
      </c>
      <c r="Y29" s="110"/>
    </row>
    <row r="30" spans="2:25" s="109" customFormat="1" ht="12">
      <c r="B30" s="99" t="s">
        <v>35</v>
      </c>
      <c r="C30" s="99">
        <v>205.96</v>
      </c>
      <c r="D30" s="99">
        <v>205.96</v>
      </c>
      <c r="E30" s="99">
        <v>205.96</v>
      </c>
      <c r="F30" s="99">
        <v>205.96</v>
      </c>
      <c r="G30" s="99">
        <v>205.96</v>
      </c>
      <c r="H30" s="99">
        <v>205.96</v>
      </c>
      <c r="I30" s="99">
        <v>249.03</v>
      </c>
      <c r="J30" s="99">
        <v>249.03</v>
      </c>
      <c r="K30" s="99">
        <v>249.03</v>
      </c>
      <c r="L30" s="99">
        <v>249.03</v>
      </c>
      <c r="M30" s="99">
        <v>249.03</v>
      </c>
      <c r="N30" s="99">
        <v>249.03</v>
      </c>
      <c r="O30" s="99">
        <f t="shared" si="5"/>
        <v>2729.9400000000005</v>
      </c>
      <c r="Y30" s="110"/>
    </row>
    <row r="31" spans="2:25" s="109" customFormat="1" ht="12">
      <c r="B31" s="99" t="s">
        <v>29</v>
      </c>
      <c r="C31" s="99">
        <v>97.68</v>
      </c>
      <c r="D31" s="99">
        <v>282.98</v>
      </c>
      <c r="E31" s="99">
        <v>83.29</v>
      </c>
      <c r="F31" s="99">
        <v>165.21</v>
      </c>
      <c r="G31" s="99"/>
      <c r="H31" s="99">
        <v>100.59</v>
      </c>
      <c r="I31" s="99">
        <v>100.59</v>
      </c>
      <c r="J31" s="99">
        <v>168.58</v>
      </c>
      <c r="K31" s="99">
        <v>159.41</v>
      </c>
      <c r="L31" s="99">
        <v>178.82</v>
      </c>
      <c r="M31" s="99">
        <v>178.82</v>
      </c>
      <c r="N31" s="99">
        <v>101.91</v>
      </c>
      <c r="O31" s="99">
        <f t="shared" si="5"/>
        <v>1617.88</v>
      </c>
      <c r="Y31" s="110"/>
    </row>
    <row r="32" spans="2:25" s="109" customFormat="1" ht="12">
      <c r="B32" s="99" t="s">
        <v>39</v>
      </c>
      <c r="C32" s="99">
        <v>1000</v>
      </c>
      <c r="D32" s="99">
        <v>582.15</v>
      </c>
      <c r="E32" s="99">
        <v>500</v>
      </c>
      <c r="F32" s="99">
        <v>1000</v>
      </c>
      <c r="G32" s="99">
        <v>1000</v>
      </c>
      <c r="H32" s="99">
        <v>1000</v>
      </c>
      <c r="I32" s="99">
        <v>1000</v>
      </c>
      <c r="J32" s="99">
        <v>1000</v>
      </c>
      <c r="K32" s="99">
        <v>1000</v>
      </c>
      <c r="L32" s="99">
        <v>1000</v>
      </c>
      <c r="M32" s="99">
        <v>1000</v>
      </c>
      <c r="N32" s="99">
        <v>1000</v>
      </c>
      <c r="O32" s="99">
        <f t="shared" si="5"/>
        <v>11082.15</v>
      </c>
      <c r="Y32" s="110"/>
    </row>
    <row r="33" spans="2:25" s="109" customFormat="1" ht="12">
      <c r="B33" s="99" t="s">
        <v>40</v>
      </c>
      <c r="C33" s="99"/>
      <c r="D33" s="99"/>
      <c r="E33" s="99"/>
      <c r="F33" s="99"/>
      <c r="G33" s="99"/>
      <c r="H33" s="99">
        <v>315</v>
      </c>
      <c r="I33" s="99">
        <v>315</v>
      </c>
      <c r="J33" s="99">
        <v>315</v>
      </c>
      <c r="K33" s="99"/>
      <c r="L33" s="99"/>
      <c r="M33" s="99"/>
      <c r="N33" s="99"/>
      <c r="O33" s="99">
        <f t="shared" si="5"/>
        <v>945</v>
      </c>
      <c r="Y33" s="110"/>
    </row>
    <row r="34" spans="2:25" s="109" customFormat="1" ht="12">
      <c r="B34" s="99" t="s">
        <v>41</v>
      </c>
      <c r="C34" s="99"/>
      <c r="D34" s="99"/>
      <c r="E34" s="99"/>
      <c r="F34" s="99"/>
      <c r="G34" s="99">
        <v>5336.25</v>
      </c>
      <c r="H34" s="99">
        <v>30</v>
      </c>
      <c r="I34" s="99"/>
      <c r="J34" s="99"/>
      <c r="K34" s="99"/>
      <c r="L34" s="99"/>
      <c r="M34" s="99"/>
      <c r="N34" s="99"/>
      <c r="O34" s="99">
        <f t="shared" si="5"/>
        <v>5366.25</v>
      </c>
      <c r="Y34" s="110"/>
    </row>
    <row r="35" spans="2:25" s="109" customFormat="1" ht="12"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Y35" s="110"/>
    </row>
    <row r="36" spans="2:25" s="109" customFormat="1" ht="12">
      <c r="B36" s="108" t="s">
        <v>42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Y36" s="110"/>
    </row>
    <row r="37" spans="2:25" s="109" customFormat="1" ht="12">
      <c r="B37" s="99" t="s">
        <v>45</v>
      </c>
      <c r="C37" s="99">
        <v>68.54</v>
      </c>
      <c r="D37" s="99">
        <v>68.54</v>
      </c>
      <c r="E37" s="99">
        <v>68.54</v>
      </c>
      <c r="F37" s="99">
        <v>68.54</v>
      </c>
      <c r="G37" s="99">
        <v>68.54</v>
      </c>
      <c r="H37" s="99">
        <v>68.54</v>
      </c>
      <c r="I37" s="99">
        <v>68.54</v>
      </c>
      <c r="J37" s="99">
        <v>68.54</v>
      </c>
      <c r="K37" s="99">
        <v>68.54</v>
      </c>
      <c r="L37" s="99">
        <v>68.54</v>
      </c>
      <c r="M37" s="99">
        <v>68.54</v>
      </c>
      <c r="N37" s="99">
        <v>68.54</v>
      </c>
      <c r="O37" s="99">
        <f t="shared" si="5"/>
        <v>822.4799999999999</v>
      </c>
      <c r="Y37" s="110"/>
    </row>
    <row r="38" spans="2:25" s="109" customFormat="1" ht="12">
      <c r="B38" s="99" t="s">
        <v>126</v>
      </c>
      <c r="C38" s="99">
        <v>239.25</v>
      </c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>
        <f t="shared" si="5"/>
        <v>239.25</v>
      </c>
      <c r="Y38" s="110"/>
    </row>
    <row r="39" spans="2:25" s="109" customFormat="1" ht="12">
      <c r="B39" s="99" t="s">
        <v>46</v>
      </c>
      <c r="C39" s="99"/>
      <c r="D39" s="99">
        <f>240.86+58.82</f>
        <v>299.68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>
        <f t="shared" si="5"/>
        <v>299.68</v>
      </c>
      <c r="Y39" s="110"/>
    </row>
    <row r="40" spans="2:25" s="109" customFormat="1" ht="12">
      <c r="B40" s="99" t="s">
        <v>52</v>
      </c>
      <c r="C40" s="99"/>
      <c r="D40" s="99">
        <v>250</v>
      </c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>
        <f t="shared" si="5"/>
        <v>250</v>
      </c>
      <c r="Y40" s="110"/>
    </row>
    <row r="41" spans="2:25" s="109" customFormat="1" ht="12">
      <c r="B41" s="99" t="s">
        <v>47</v>
      </c>
      <c r="C41" s="99"/>
      <c r="D41" s="99">
        <v>117.65</v>
      </c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>
        <f t="shared" si="5"/>
        <v>117.65</v>
      </c>
      <c r="Y41" s="110"/>
    </row>
    <row r="42" spans="2:25" s="109" customFormat="1" ht="12">
      <c r="B42" s="99" t="s">
        <v>48</v>
      </c>
      <c r="C42" s="99"/>
      <c r="D42" s="99"/>
      <c r="E42" s="99">
        <v>17.65</v>
      </c>
      <c r="F42" s="99"/>
      <c r="G42" s="99"/>
      <c r="H42" s="99"/>
      <c r="I42" s="99"/>
      <c r="J42" s="99"/>
      <c r="K42" s="99"/>
      <c r="L42" s="99"/>
      <c r="M42" s="99"/>
      <c r="N42" s="99"/>
      <c r="O42" s="99">
        <f t="shared" si="5"/>
        <v>17.65</v>
      </c>
      <c r="Y42" s="110"/>
    </row>
    <row r="43" spans="2:25" s="109" customFormat="1" ht="12">
      <c r="B43" s="99" t="s">
        <v>50</v>
      </c>
      <c r="C43" s="99"/>
      <c r="D43" s="99"/>
      <c r="E43" s="112">
        <v>126.47</v>
      </c>
      <c r="F43" s="99"/>
      <c r="G43" s="99">
        <v>700</v>
      </c>
      <c r="H43" s="99">
        <v>420</v>
      </c>
      <c r="I43" s="99"/>
      <c r="J43" s="99">
        <v>25</v>
      </c>
      <c r="K43" s="99"/>
      <c r="L43" s="99"/>
      <c r="M43" s="99"/>
      <c r="N43" s="99"/>
      <c r="O43" s="99">
        <f t="shared" si="5"/>
        <v>1271.47</v>
      </c>
      <c r="Y43" s="110"/>
    </row>
    <row r="44" spans="2:25" s="109" customFormat="1" ht="12">
      <c r="B44" s="99" t="s">
        <v>49</v>
      </c>
      <c r="C44" s="99"/>
      <c r="D44" s="99"/>
      <c r="E44" s="99"/>
      <c r="F44" s="99">
        <v>775</v>
      </c>
      <c r="G44" s="99"/>
      <c r="H44" s="99"/>
      <c r="I44" s="99"/>
      <c r="J44" s="99"/>
      <c r="K44" s="99"/>
      <c r="L44" s="99"/>
      <c r="M44" s="99"/>
      <c r="N44" s="99"/>
      <c r="O44" s="99">
        <f t="shared" si="5"/>
        <v>775</v>
      </c>
      <c r="Y44" s="110"/>
    </row>
    <row r="45" spans="2:25" s="109" customFormat="1" ht="12">
      <c r="B45" s="99" t="s">
        <v>51</v>
      </c>
      <c r="C45" s="99"/>
      <c r="D45" s="99"/>
      <c r="E45" s="99"/>
      <c r="F45" s="99"/>
      <c r="G45" s="99">
        <v>405.71</v>
      </c>
      <c r="H45" s="99">
        <f>116.92+58.46</f>
        <v>175.38</v>
      </c>
      <c r="I45" s="99">
        <v>47.88</v>
      </c>
      <c r="J45" s="99">
        <v>80.77</v>
      </c>
      <c r="K45" s="99"/>
      <c r="L45" s="99"/>
      <c r="M45" s="99"/>
      <c r="N45" s="99"/>
      <c r="O45" s="99">
        <f t="shared" si="5"/>
        <v>709.7399999999999</v>
      </c>
      <c r="Y45" s="110"/>
    </row>
    <row r="46" spans="2:25" s="109" customFormat="1" ht="12">
      <c r="B46" s="111" t="s">
        <v>123</v>
      </c>
      <c r="C46" s="99"/>
      <c r="D46" s="99"/>
      <c r="E46" s="99"/>
      <c r="F46" s="99"/>
      <c r="G46" s="99"/>
      <c r="H46" s="99">
        <v>182.43</v>
      </c>
      <c r="I46" s="99"/>
      <c r="J46" s="99"/>
      <c r="K46" s="99"/>
      <c r="L46" s="99"/>
      <c r="M46" s="99"/>
      <c r="N46" s="99"/>
      <c r="O46" s="99">
        <f t="shared" si="5"/>
        <v>182.43</v>
      </c>
      <c r="Y46" s="110"/>
    </row>
    <row r="47" spans="2:25" s="109" customFormat="1" ht="12">
      <c r="B47" s="99" t="s">
        <v>130</v>
      </c>
      <c r="C47" s="99"/>
      <c r="D47" s="99"/>
      <c r="E47" s="99"/>
      <c r="F47" s="99"/>
      <c r="G47" s="99"/>
      <c r="H47" s="99"/>
      <c r="I47" s="99">
        <v>161.76</v>
      </c>
      <c r="J47" s="99"/>
      <c r="K47" s="99"/>
      <c r="L47" s="99"/>
      <c r="M47" s="99"/>
      <c r="N47" s="99"/>
      <c r="O47" s="99">
        <f t="shared" si="5"/>
        <v>161.76</v>
      </c>
      <c r="Y47" s="110"/>
    </row>
    <row r="48" spans="2:25" s="109" customFormat="1" ht="12">
      <c r="B48" s="99" t="s">
        <v>134</v>
      </c>
      <c r="C48" s="99"/>
      <c r="D48" s="99"/>
      <c r="E48" s="99"/>
      <c r="F48" s="99"/>
      <c r="G48" s="99"/>
      <c r="H48" s="99"/>
      <c r="I48" s="99">
        <v>93.53</v>
      </c>
      <c r="J48" s="99"/>
      <c r="K48" s="99"/>
      <c r="L48" s="99">
        <v>15.17</v>
      </c>
      <c r="M48" s="99"/>
      <c r="N48" s="99"/>
      <c r="O48" s="99">
        <f t="shared" si="5"/>
        <v>108.7</v>
      </c>
      <c r="Y48" s="110"/>
    </row>
    <row r="49" spans="2:25" s="109" customFormat="1" ht="12">
      <c r="B49" s="111" t="s">
        <v>139</v>
      </c>
      <c r="C49" s="99"/>
      <c r="D49" s="99"/>
      <c r="E49" s="99"/>
      <c r="F49" s="99"/>
      <c r="G49" s="99"/>
      <c r="H49" s="99"/>
      <c r="I49" s="99"/>
      <c r="J49" s="99">
        <v>12.14</v>
      </c>
      <c r="K49" s="99"/>
      <c r="L49" s="99"/>
      <c r="M49" s="99"/>
      <c r="N49" s="99"/>
      <c r="O49" s="99">
        <f t="shared" si="5"/>
        <v>12.14</v>
      </c>
      <c r="Y49" s="110"/>
    </row>
    <row r="50" spans="2:25" s="109" customFormat="1" ht="12">
      <c r="B50" s="99" t="s">
        <v>155</v>
      </c>
      <c r="C50" s="99"/>
      <c r="D50" s="99"/>
      <c r="E50" s="99"/>
      <c r="F50" s="99"/>
      <c r="G50" s="99"/>
      <c r="H50" s="99"/>
      <c r="I50" s="99"/>
      <c r="J50" s="99">
        <v>80.94</v>
      </c>
      <c r="K50" s="99"/>
      <c r="L50" s="99">
        <v>90.32</v>
      </c>
      <c r="M50" s="99">
        <v>90.32</v>
      </c>
      <c r="N50" s="99">
        <v>120.43</v>
      </c>
      <c r="O50" s="99">
        <f t="shared" si="5"/>
        <v>382.01</v>
      </c>
      <c r="Y50" s="110"/>
    </row>
    <row r="51" spans="2:25" s="109" customFormat="1" ht="409.5" customHeight="1" hidden="1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>
        <f t="shared" si="5"/>
        <v>0</v>
      </c>
      <c r="Y51" s="110"/>
    </row>
    <row r="52" spans="2:25" s="109" customFormat="1" ht="12">
      <c r="B52" s="99" t="s">
        <v>189</v>
      </c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>
        <v>111.4</v>
      </c>
      <c r="N52" s="99"/>
      <c r="O52" s="99">
        <f t="shared" si="5"/>
        <v>111.4</v>
      </c>
      <c r="Y52" s="110"/>
    </row>
    <row r="53" spans="2:25" s="109" customFormat="1" ht="12">
      <c r="B53" s="99" t="s">
        <v>219</v>
      </c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>
        <v>10.31</v>
      </c>
      <c r="N53" s="99"/>
      <c r="O53" s="99">
        <f t="shared" si="5"/>
        <v>10.31</v>
      </c>
      <c r="Y53" s="110"/>
    </row>
    <row r="54" spans="2:25" s="109" customFormat="1" ht="12">
      <c r="B54" s="99" t="s">
        <v>165</v>
      </c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>
        <v>26.98</v>
      </c>
      <c r="O54" s="99">
        <f t="shared" si="5"/>
        <v>26.98</v>
      </c>
      <c r="Y54" s="110"/>
    </row>
    <row r="55" spans="2:25" s="109" customFormat="1" ht="12">
      <c r="B55" s="108" t="s">
        <v>16</v>
      </c>
      <c r="C55" s="108">
        <f aca="true" t="shared" si="6" ref="C55:O55">SUM(C23:C54)</f>
        <v>13824.020000000002</v>
      </c>
      <c r="D55" s="108">
        <f t="shared" si="6"/>
        <v>12626.93</v>
      </c>
      <c r="E55" s="108">
        <f t="shared" si="6"/>
        <v>11622.980000000003</v>
      </c>
      <c r="F55" s="108">
        <f t="shared" si="6"/>
        <v>12146.43</v>
      </c>
      <c r="G55" s="108">
        <f t="shared" si="6"/>
        <v>18551.47</v>
      </c>
      <c r="H55" s="108">
        <f t="shared" si="6"/>
        <v>11526.57</v>
      </c>
      <c r="I55" s="108">
        <f t="shared" si="6"/>
        <v>20241.549999999996</v>
      </c>
      <c r="J55" s="108">
        <f t="shared" si="6"/>
        <v>11445.360000000002</v>
      </c>
      <c r="K55" s="108">
        <f t="shared" si="6"/>
        <v>12239.650000000001</v>
      </c>
      <c r="L55" s="108">
        <f t="shared" si="6"/>
        <v>11750.090000000002</v>
      </c>
      <c r="M55" s="108">
        <f t="shared" si="6"/>
        <v>10545.37</v>
      </c>
      <c r="N55" s="108">
        <f t="shared" si="6"/>
        <v>12742.870000000003</v>
      </c>
      <c r="O55" s="108">
        <f t="shared" si="6"/>
        <v>159802.89</v>
      </c>
      <c r="Y55" s="110"/>
    </row>
    <row r="57" spans="2:15" ht="12">
      <c r="B57" s="161" t="s">
        <v>44</v>
      </c>
      <c r="C57" s="114">
        <f aca="true" t="shared" si="7" ref="C57:O57">C7+C15-C55</f>
        <v>-1313.1900000000005</v>
      </c>
      <c r="D57" s="114">
        <f t="shared" si="7"/>
        <v>-3574.1100000000006</v>
      </c>
      <c r="E57" s="114">
        <f t="shared" si="7"/>
        <v>-2780.2000000000044</v>
      </c>
      <c r="F57" s="114">
        <f t="shared" si="7"/>
        <v>-3460.810000000005</v>
      </c>
      <c r="G57" s="114">
        <f t="shared" si="7"/>
        <v>-10329.660000000005</v>
      </c>
      <c r="H57" s="114">
        <f t="shared" si="7"/>
        <v>-7982.060000000005</v>
      </c>
      <c r="I57" s="114">
        <f t="shared" si="7"/>
        <v>-12728.67</v>
      </c>
      <c r="J57" s="114">
        <f t="shared" si="7"/>
        <v>-8526.710000000003</v>
      </c>
      <c r="K57" s="114">
        <f t="shared" si="7"/>
        <v>-11859.440000000006</v>
      </c>
      <c r="L57" s="162">
        <f t="shared" si="7"/>
        <v>-10404.620000000008</v>
      </c>
      <c r="M57" s="114">
        <f t="shared" si="7"/>
        <v>-7468.670000000009</v>
      </c>
      <c r="N57" s="114">
        <f t="shared" si="7"/>
        <v>-10742.530000000012</v>
      </c>
      <c r="O57" s="115">
        <f t="shared" si="7"/>
        <v>-11282.130000000005</v>
      </c>
    </row>
    <row r="58" spans="2:16" ht="12"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163"/>
      <c r="M58" s="88"/>
      <c r="N58" s="88"/>
      <c r="O58" s="89"/>
      <c r="P58" s="88"/>
    </row>
    <row r="59" spans="2:16" ht="11.25" customHeight="1" hidden="1">
      <c r="B59" s="116"/>
      <c r="C59" s="88"/>
      <c r="D59" s="88"/>
      <c r="E59" s="88"/>
      <c r="F59" s="88"/>
      <c r="G59" s="88"/>
      <c r="H59" s="88"/>
      <c r="I59" s="88"/>
      <c r="J59" s="88"/>
      <c r="K59" s="88"/>
      <c r="L59" s="163"/>
      <c r="M59" s="88"/>
      <c r="N59" s="88"/>
      <c r="O59" s="89"/>
      <c r="P59" s="88"/>
    </row>
    <row r="60" spans="2:16" s="87" customFormat="1" ht="12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164"/>
      <c r="M60" s="89"/>
      <c r="N60" s="89"/>
      <c r="O60" s="89"/>
      <c r="P60" s="89"/>
    </row>
    <row r="61" spans="2:16" s="87" customFormat="1" ht="12">
      <c r="B61" s="117"/>
      <c r="C61" s="89"/>
      <c r="D61" s="89"/>
      <c r="E61" s="89"/>
      <c r="F61" s="89"/>
      <c r="G61" s="89"/>
      <c r="H61" s="89"/>
      <c r="I61" s="89"/>
      <c r="J61" s="89"/>
      <c r="K61" s="89"/>
      <c r="L61" s="164"/>
      <c r="M61" s="89"/>
      <c r="N61" s="89"/>
      <c r="O61" s="89"/>
      <c r="P61" s="89"/>
    </row>
    <row r="62" spans="2:15" s="87" customFormat="1" ht="12"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</row>
    <row r="63" ht="12">
      <c r="B63" s="86" t="s">
        <v>24</v>
      </c>
    </row>
    <row r="64" ht="12">
      <c r="B64" s="86" t="s">
        <v>25</v>
      </c>
    </row>
  </sheetData>
  <sheetProtection selectLockedCells="1" selectUnlockedCells="1"/>
  <mergeCells count="3">
    <mergeCell ref="B2:O2"/>
    <mergeCell ref="B1:O1"/>
    <mergeCell ref="B3:O3"/>
  </mergeCells>
  <printOptions/>
  <pageMargins left="0.15748031496062992" right="0.2362204724409449" top="0.15748031496062992" bottom="0.2755905511811024" header="0.31496062992125984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1"/>
  <sheetViews>
    <sheetView zoomScalePageLayoutView="0" workbookViewId="0" topLeftCell="A1">
      <pane xSplit="1" ySplit="5" topLeftCell="B55" activePane="bottomRight" state="frozen"/>
      <selection pane="topLeft" activeCell="K72" sqref="K72"/>
      <selection pane="topRight" activeCell="K72" sqref="K72"/>
      <selection pane="bottomLeft" activeCell="K72" sqref="K72"/>
      <selection pane="bottomRight" activeCell="O68" sqref="O68"/>
    </sheetView>
  </sheetViews>
  <sheetFormatPr defaultColWidth="26.75390625" defaultRowHeight="12.75"/>
  <cols>
    <col min="1" max="1" width="37.00390625" style="1" customWidth="1"/>
    <col min="2" max="2" width="8.625" style="1" hidden="1" customWidth="1"/>
    <col min="3" max="4" width="9.375" style="1" hidden="1" customWidth="1"/>
    <col min="5" max="5" width="10.25390625" style="1" hidden="1" customWidth="1"/>
    <col min="6" max="6" width="9.125" style="1" hidden="1" customWidth="1"/>
    <col min="7" max="7" width="9.00390625" style="1" hidden="1" customWidth="1"/>
    <col min="8" max="8" width="8.875" style="1" hidden="1" customWidth="1"/>
    <col min="9" max="9" width="9.25390625" style="1" hidden="1" customWidth="1"/>
    <col min="10" max="10" width="11.25390625" style="1" hidden="1" customWidth="1"/>
    <col min="11" max="11" width="9.75390625" style="1" hidden="1" customWidth="1"/>
    <col min="12" max="12" width="8.75390625" style="1" hidden="1" customWidth="1"/>
    <col min="13" max="13" width="9.25390625" style="1" hidden="1" customWidth="1"/>
    <col min="14" max="14" width="9.25390625" style="2" customWidth="1"/>
    <col min="15" max="22" width="26.75390625" style="1" customWidth="1"/>
    <col min="23" max="23" width="26.75390625" style="2" customWidth="1"/>
    <col min="24" max="16384" width="26.75390625" style="1" customWidth="1"/>
  </cols>
  <sheetData>
    <row r="1" spans="1:14" ht="11.25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</row>
    <row r="2" spans="1:14" ht="15">
      <c r="A2" s="32" t="s">
        <v>104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4" spans="1:14" ht="12.75">
      <c r="A4" s="31" t="s">
        <v>105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4"/>
    </row>
    <row r="5" spans="1:14" ht="11.25">
      <c r="A5" s="5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6" t="s">
        <v>12</v>
      </c>
    </row>
    <row r="6" spans="1:14" ht="11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4"/>
    </row>
    <row r="7" spans="1:14" ht="11.25">
      <c r="A7" s="4" t="s">
        <v>43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4"/>
    </row>
    <row r="8" spans="1:14" ht="11.25">
      <c r="A8" s="5" t="s">
        <v>13</v>
      </c>
      <c r="B8" s="5">
        <v>20609.07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>
        <f>B8+C8+D8+E8+F8+G8+H8+I8+J8+K8+L8+M8</f>
        <v>20609.07</v>
      </c>
    </row>
    <row r="9" spans="1:14" ht="11.25">
      <c r="A9" s="5" t="s">
        <v>14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>
        <f>B9+C9+D9+E9+F9+G9+H9+I9+J9+K9+L9+M9</f>
        <v>0</v>
      </c>
    </row>
    <row r="10" spans="1:14" ht="11.25">
      <c r="A10" s="5" t="s">
        <v>15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>
        <f>B10+C10+D10+E10+F10+G10+H10+I10+J10+K10+L10+M10</f>
        <v>0</v>
      </c>
    </row>
    <row r="11" spans="1:14" s="2" customFormat="1" ht="11.25">
      <c r="A11" s="4" t="s">
        <v>16</v>
      </c>
      <c r="B11" s="4">
        <f>B8+B9+B10</f>
        <v>20609.07</v>
      </c>
      <c r="C11" s="4">
        <f aca="true" t="shared" si="0" ref="C11:H11">B74</f>
        <v>21144.699999999997</v>
      </c>
      <c r="D11" s="4">
        <f t="shared" si="0"/>
        <v>17278.979999999996</v>
      </c>
      <c r="E11" s="4">
        <f t="shared" si="0"/>
        <v>20873.139999999996</v>
      </c>
      <c r="F11" s="4">
        <f t="shared" si="0"/>
        <v>9807.359999999993</v>
      </c>
      <c r="G11" s="4">
        <f t="shared" si="0"/>
        <v>-1148.6800000000076</v>
      </c>
      <c r="H11" s="4">
        <f t="shared" si="0"/>
        <v>10137.069999999989</v>
      </c>
      <c r="I11" s="4">
        <f>H74</f>
        <v>-1613.8400000000074</v>
      </c>
      <c r="J11" s="4">
        <f>I74</f>
        <v>-967.1700000000092</v>
      </c>
      <c r="K11" s="4">
        <f>J74</f>
        <v>-2521.8500000000113</v>
      </c>
      <c r="L11" s="4">
        <f>K74</f>
        <v>-1973.6200000000135</v>
      </c>
      <c r="M11" s="4">
        <f>L74</f>
        <v>-7049.910000000014</v>
      </c>
      <c r="N11" s="4">
        <f>N8+N9+N10</f>
        <v>20609.07</v>
      </c>
    </row>
    <row r="12" spans="1:14" ht="11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4"/>
    </row>
    <row r="13" spans="1:14" ht="11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4"/>
    </row>
    <row r="14" spans="1:23" s="10" customFormat="1" ht="11.25">
      <c r="A14" s="8" t="s">
        <v>17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8"/>
      <c r="W14" s="11"/>
    </row>
    <row r="15" spans="1:23" s="10" customFormat="1" ht="11.25">
      <c r="A15" s="9" t="s">
        <v>13</v>
      </c>
      <c r="B15" s="9">
        <v>13558.4</v>
      </c>
      <c r="C15" s="9">
        <v>13558.4</v>
      </c>
      <c r="D15" s="9">
        <v>13558.4</v>
      </c>
      <c r="E15" s="9">
        <v>13558.4</v>
      </c>
      <c r="F15" s="9">
        <v>13558.4</v>
      </c>
      <c r="G15" s="9">
        <v>13558.4</v>
      </c>
      <c r="H15" s="9">
        <v>14150.69</v>
      </c>
      <c r="I15" s="9">
        <v>14150.69</v>
      </c>
      <c r="J15" s="9">
        <v>14150.69</v>
      </c>
      <c r="K15" s="9">
        <v>14150.69</v>
      </c>
      <c r="L15" s="9">
        <v>14150.69</v>
      </c>
      <c r="M15" s="9">
        <v>14150.69</v>
      </c>
      <c r="N15" s="37">
        <f>B15+C15+D15+E15+F15+G15+H15+I15+J15+K15+L15+M15</f>
        <v>166254.54</v>
      </c>
      <c r="W15" s="11"/>
    </row>
    <row r="16" spans="1:23" s="10" customFormat="1" ht="11.25">
      <c r="A16" s="9" t="s">
        <v>14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>
        <f>B16+C16+D16+E16+F16+G16+H16+I16+J16+K16+L16+M16</f>
        <v>0</v>
      </c>
      <c r="W16" s="11"/>
    </row>
    <row r="17" spans="1:23" s="10" customFormat="1" ht="11.25">
      <c r="A17" s="9" t="s">
        <v>38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>
        <f>B17+C17+D17+E17+F17+G17+H17+I17+J17+K17+L17+M17</f>
        <v>0</v>
      </c>
      <c r="W17" s="11"/>
    </row>
    <row r="18" spans="1:23" s="10" customFormat="1" ht="11.25">
      <c r="A18" s="16" t="s">
        <v>30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W18" s="11"/>
    </row>
    <row r="19" spans="1:14" s="11" customFormat="1" ht="11.25">
      <c r="A19" s="8" t="s">
        <v>16</v>
      </c>
      <c r="B19" s="8">
        <f aca="true" t="shared" si="1" ref="B19:M19">SUM(B13:B17)</f>
        <v>13558.4</v>
      </c>
      <c r="C19" s="8">
        <f t="shared" si="1"/>
        <v>13558.4</v>
      </c>
      <c r="D19" s="8">
        <f t="shared" si="1"/>
        <v>13558.4</v>
      </c>
      <c r="E19" s="8">
        <f t="shared" si="1"/>
        <v>13558.4</v>
      </c>
      <c r="F19" s="8">
        <f t="shared" si="1"/>
        <v>13558.4</v>
      </c>
      <c r="G19" s="8">
        <f t="shared" si="1"/>
        <v>13558.4</v>
      </c>
      <c r="H19" s="8">
        <f t="shared" si="1"/>
        <v>14150.69</v>
      </c>
      <c r="I19" s="8">
        <f t="shared" si="1"/>
        <v>14150.69</v>
      </c>
      <c r="J19" s="8">
        <f t="shared" si="1"/>
        <v>14150.69</v>
      </c>
      <c r="K19" s="8">
        <f t="shared" si="1"/>
        <v>14150.69</v>
      </c>
      <c r="L19" s="8">
        <f t="shared" si="1"/>
        <v>14150.69</v>
      </c>
      <c r="M19" s="8">
        <f t="shared" si="1"/>
        <v>14150.69</v>
      </c>
      <c r="N19" s="8">
        <f>B19+C19+D19+E19+F19+G19+H19+I19+J19+K19+L19+M19</f>
        <v>166254.54</v>
      </c>
    </row>
    <row r="20" spans="1:14" ht="11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4"/>
    </row>
    <row r="21" spans="1:23" s="27" customFormat="1" ht="11.25">
      <c r="A21" s="25" t="s">
        <v>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5"/>
      <c r="W21" s="28"/>
    </row>
    <row r="22" spans="1:23" s="27" customFormat="1" ht="11.25">
      <c r="A22" s="26" t="s">
        <v>13</v>
      </c>
      <c r="B22" s="26">
        <f>9709.17+1000</f>
        <v>10709.17</v>
      </c>
      <c r="C22" s="26">
        <v>8494.31</v>
      </c>
      <c r="D22" s="26">
        <f>14447.26+500</f>
        <v>14947.26</v>
      </c>
      <c r="E22" s="26">
        <f>6259.16+1000</f>
        <v>7259.16</v>
      </c>
      <c r="F22" s="26">
        <f>8355.42+1000</f>
        <v>9355.42</v>
      </c>
      <c r="G22" s="26">
        <f>21354.17+1000+182.43</f>
        <v>22536.6</v>
      </c>
      <c r="H22" s="26">
        <f>11241.68+1000</f>
        <v>12241.68</v>
      </c>
      <c r="I22" s="26">
        <f>11028.05+1000+250</f>
        <v>12278.05</v>
      </c>
      <c r="J22" s="26">
        <f>9716.97+1000</f>
        <v>10716.97</v>
      </c>
      <c r="K22" s="26">
        <v>12237.89</v>
      </c>
      <c r="L22" s="26">
        <v>5294.08</v>
      </c>
      <c r="M22" s="26">
        <f>13592.93-4324.05</f>
        <v>9268.880000000001</v>
      </c>
      <c r="N22" s="26">
        <f>B22+C22+D22+E22+F22+G22+H22+I22+J22+K22+L22+M22</f>
        <v>135339.46999999997</v>
      </c>
      <c r="W22" s="28"/>
    </row>
    <row r="23" spans="1:23" s="27" customFormat="1" ht="11.25">
      <c r="A23" s="26" t="s">
        <v>14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>
        <f>B23+C23+D23+E23+F23+G23+H23+I23+J23+K23+L23+M23</f>
        <v>0</v>
      </c>
      <c r="W23" s="28"/>
    </row>
    <row r="24" spans="1:23" s="27" customFormat="1" ht="11.25">
      <c r="A24" s="9" t="s">
        <v>38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>
        <f>B24+C24+D24+E24+F24+G24+H24+I24+J24+K24+L24+M24</f>
        <v>0</v>
      </c>
      <c r="W24" s="28"/>
    </row>
    <row r="25" spans="1:23" s="27" customFormat="1" ht="11.25">
      <c r="A25" s="16" t="s">
        <v>30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W25" s="28"/>
    </row>
    <row r="26" spans="1:23" s="27" customFormat="1" ht="11.25">
      <c r="A26" s="1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W26" s="28"/>
    </row>
    <row r="27" spans="1:14" s="28" customFormat="1" ht="11.25">
      <c r="A27" s="25" t="s">
        <v>16</v>
      </c>
      <c r="B27" s="25">
        <f>SUM(B22:B26)</f>
        <v>10709.17</v>
      </c>
      <c r="C27" s="25">
        <f aca="true" t="shared" si="2" ref="C27:N27">SUM(C22:C26)</f>
        <v>8494.31</v>
      </c>
      <c r="D27" s="25">
        <f t="shared" si="2"/>
        <v>14947.26</v>
      </c>
      <c r="E27" s="25">
        <f t="shared" si="2"/>
        <v>7259.16</v>
      </c>
      <c r="F27" s="25">
        <f t="shared" si="2"/>
        <v>9355.42</v>
      </c>
      <c r="G27" s="25">
        <f t="shared" si="2"/>
        <v>22536.6</v>
      </c>
      <c r="H27" s="25">
        <f t="shared" si="2"/>
        <v>12241.68</v>
      </c>
      <c r="I27" s="25">
        <f t="shared" si="2"/>
        <v>12278.05</v>
      </c>
      <c r="J27" s="25">
        <f t="shared" si="2"/>
        <v>10716.97</v>
      </c>
      <c r="K27" s="25">
        <f t="shared" si="2"/>
        <v>12237.89</v>
      </c>
      <c r="L27" s="25">
        <f t="shared" si="2"/>
        <v>5294.08</v>
      </c>
      <c r="M27" s="25">
        <f t="shared" si="2"/>
        <v>9268.880000000001</v>
      </c>
      <c r="N27" s="25">
        <f t="shared" si="2"/>
        <v>135339.46999999997</v>
      </c>
    </row>
    <row r="28" spans="1:14" ht="11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4"/>
    </row>
    <row r="29" spans="1:14" ht="11.25">
      <c r="A29" s="4" t="s">
        <v>19</v>
      </c>
      <c r="B29" s="12">
        <f aca="true" t="shared" si="3" ref="B29:N29">B27/B19</f>
        <v>0.7898549976398396</v>
      </c>
      <c r="C29" s="12">
        <f t="shared" si="3"/>
        <v>0.6264979643615766</v>
      </c>
      <c r="D29" s="12">
        <f t="shared" si="3"/>
        <v>1.1024353906065614</v>
      </c>
      <c r="E29" s="12">
        <f t="shared" si="3"/>
        <v>0.5353994571630871</v>
      </c>
      <c r="F29" s="12">
        <f t="shared" si="3"/>
        <v>0.6900091456219023</v>
      </c>
      <c r="G29" s="12">
        <f t="shared" si="3"/>
        <v>1.6621872787349539</v>
      </c>
      <c r="H29" s="12">
        <f t="shared" si="3"/>
        <v>0.8650942109536708</v>
      </c>
      <c r="I29" s="12">
        <f t="shared" si="3"/>
        <v>0.8676644036439212</v>
      </c>
      <c r="J29" s="12">
        <f t="shared" si="3"/>
        <v>0.7573461082109776</v>
      </c>
      <c r="K29" s="12">
        <f t="shared" si="3"/>
        <v>0.8648263794910354</v>
      </c>
      <c r="L29" s="12">
        <f t="shared" si="3"/>
        <v>0.37412168593898953</v>
      </c>
      <c r="M29" s="12">
        <f t="shared" si="3"/>
        <v>0.6550125824253094</v>
      </c>
      <c r="N29" s="13">
        <f t="shared" si="3"/>
        <v>0.8140497697085443</v>
      </c>
    </row>
    <row r="30" spans="1:14" ht="11.25">
      <c r="A30" s="4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4"/>
    </row>
    <row r="31" spans="1:14" ht="11.25">
      <c r="A31" s="4" t="s">
        <v>20</v>
      </c>
      <c r="B31" s="7">
        <f aca="true" t="shared" si="4" ref="B31:M31">B19-B27</f>
        <v>2849.2299999999996</v>
      </c>
      <c r="C31" s="7">
        <f t="shared" si="4"/>
        <v>5064.09</v>
      </c>
      <c r="D31" s="7">
        <f t="shared" si="4"/>
        <v>-1388.8600000000006</v>
      </c>
      <c r="E31" s="7">
        <f t="shared" si="4"/>
        <v>6299.24</v>
      </c>
      <c r="F31" s="7">
        <f t="shared" si="4"/>
        <v>4202.98</v>
      </c>
      <c r="G31" s="7">
        <f t="shared" si="4"/>
        <v>-8978.199999999999</v>
      </c>
      <c r="H31" s="7">
        <f t="shared" si="4"/>
        <v>1909.0100000000002</v>
      </c>
      <c r="I31" s="7">
        <f t="shared" si="4"/>
        <v>1872.6400000000012</v>
      </c>
      <c r="J31" s="7">
        <f t="shared" si="4"/>
        <v>3433.720000000001</v>
      </c>
      <c r="K31" s="7">
        <f t="shared" si="4"/>
        <v>1912.800000000001</v>
      </c>
      <c r="L31" s="7">
        <f t="shared" si="4"/>
        <v>8856.61</v>
      </c>
      <c r="M31" s="7">
        <f t="shared" si="4"/>
        <v>4881.8099999999995</v>
      </c>
      <c r="N31" s="7">
        <f>N19-N27</f>
        <v>30915.070000000036</v>
      </c>
    </row>
    <row r="32" spans="1:14" ht="11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4"/>
    </row>
    <row r="33" spans="1:23" s="17" customFormat="1" ht="11.25">
      <c r="A33" s="15" t="s">
        <v>21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5"/>
      <c r="W33" s="18"/>
    </row>
    <row r="34" spans="1:23" s="17" customFormat="1" ht="11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5"/>
      <c r="W34" s="18"/>
    </row>
    <row r="35" spans="1:23" s="17" customFormat="1" ht="11.25">
      <c r="A35" s="16" t="s">
        <v>22</v>
      </c>
      <c r="B35" s="16">
        <v>235.87</v>
      </c>
      <c r="C35" s="16">
        <v>186.04</v>
      </c>
      <c r="D35" s="16">
        <v>463.54</v>
      </c>
      <c r="E35" s="16">
        <f>261.02+52.42-0.06</f>
        <v>313.38</v>
      </c>
      <c r="F35" s="16">
        <v>1688.1</v>
      </c>
      <c r="G35" s="16">
        <f>190.09+54.12</f>
        <v>244.21</v>
      </c>
      <c r="H35" s="16">
        <v>269.36</v>
      </c>
      <c r="I35" s="16">
        <v>274.95</v>
      </c>
      <c r="J35" s="16">
        <v>246.08</v>
      </c>
      <c r="K35" s="16">
        <v>343.17</v>
      </c>
      <c r="L35" s="16">
        <v>111.11</v>
      </c>
      <c r="M35" s="36">
        <v>291.76</v>
      </c>
      <c r="N35" s="16">
        <f>SUM(B35:M35)</f>
        <v>4667.57</v>
      </c>
      <c r="W35" s="18"/>
    </row>
    <row r="36" spans="1:23" s="17" customFormat="1" ht="11.25">
      <c r="A36" s="16" t="s">
        <v>37</v>
      </c>
      <c r="B36" s="16">
        <v>4772.56</v>
      </c>
      <c r="C36" s="16">
        <v>4772.56</v>
      </c>
      <c r="D36" s="16">
        <v>4772.56</v>
      </c>
      <c r="E36" s="16">
        <v>4772.56</v>
      </c>
      <c r="F36" s="16">
        <v>4772.56</v>
      </c>
      <c r="G36" s="16">
        <v>4772.56</v>
      </c>
      <c r="H36" s="16">
        <v>4772.56</v>
      </c>
      <c r="I36" s="16">
        <v>4890.06</v>
      </c>
      <c r="J36" s="16">
        <v>4980.93</v>
      </c>
      <c r="K36" s="16">
        <v>4980.93</v>
      </c>
      <c r="L36" s="16">
        <v>4980.93</v>
      </c>
      <c r="M36" s="36">
        <v>4980.93</v>
      </c>
      <c r="N36" s="16">
        <f aca="true" t="shared" si="5" ref="N36:N48">SUM(B36:M36)</f>
        <v>58221.700000000004</v>
      </c>
      <c r="W36" s="18"/>
    </row>
    <row r="37" spans="1:23" s="17" customFormat="1" ht="11.25">
      <c r="A37" s="16" t="s">
        <v>31</v>
      </c>
      <c r="B37" s="16">
        <f>713.6+586.8</f>
        <v>1300.4</v>
      </c>
      <c r="C37" s="16">
        <f>713.6+1136.67</f>
        <v>1850.27</v>
      </c>
      <c r="D37" s="16">
        <f>713.6+658</f>
        <v>1371.6</v>
      </c>
      <c r="E37" s="16">
        <f>409.21</f>
        <v>409.21</v>
      </c>
      <c r="F37" s="16">
        <f>409.21</f>
        <v>409.21</v>
      </c>
      <c r="G37" s="16">
        <v>409.21</v>
      </c>
      <c r="H37" s="16">
        <v>1384.88</v>
      </c>
      <c r="I37" s="16">
        <v>1059.14</v>
      </c>
      <c r="J37" s="16">
        <f>1059.14</f>
        <v>1059.14</v>
      </c>
      <c r="K37" s="16">
        <v>1059.14</v>
      </c>
      <c r="L37" s="16">
        <v>1059.14</v>
      </c>
      <c r="M37" s="36">
        <v>1059.14</v>
      </c>
      <c r="N37" s="16">
        <f t="shared" si="5"/>
        <v>12430.479999999998</v>
      </c>
      <c r="W37" s="18"/>
    </row>
    <row r="38" spans="1:23" s="17" customFormat="1" ht="11.25">
      <c r="A38" s="16" t="s">
        <v>32</v>
      </c>
      <c r="B38" s="16">
        <f>1330.17</f>
        <v>1330.17</v>
      </c>
      <c r="C38" s="16">
        <v>2652.35</v>
      </c>
      <c r="D38" s="16">
        <f>1312.4+1339.95</f>
        <v>2652.3500000000004</v>
      </c>
      <c r="E38" s="16">
        <f>1450.27+1157.61</f>
        <v>2607.88</v>
      </c>
      <c r="F38" s="16">
        <f>1442.63+1157.61</f>
        <v>2600.24</v>
      </c>
      <c r="G38" s="16">
        <f>1298.85+1308.96</f>
        <v>2607.81</v>
      </c>
      <c r="H38" s="16">
        <v>2607.81</v>
      </c>
      <c r="I38" s="16">
        <f>1894.16</f>
        <v>1894.16</v>
      </c>
      <c r="J38" s="16">
        <f>713.65+1136.5+1471.32</f>
        <v>3321.4700000000003</v>
      </c>
      <c r="K38" s="16">
        <f>1894.16+713.65</f>
        <v>2607.81</v>
      </c>
      <c r="L38" s="16">
        <v>1525.44</v>
      </c>
      <c r="M38" s="36">
        <f>1352.97+1082.38+1254.84</f>
        <v>3690.1900000000005</v>
      </c>
      <c r="N38" s="16">
        <f t="shared" si="5"/>
        <v>30097.68</v>
      </c>
      <c r="W38" s="18"/>
    </row>
    <row r="39" spans="1:23" s="17" customFormat="1" ht="11.25">
      <c r="A39" s="16" t="s">
        <v>26</v>
      </c>
      <c r="B39" s="16"/>
      <c r="C39" s="16">
        <v>168.03</v>
      </c>
      <c r="D39" s="16">
        <v>168.03</v>
      </c>
      <c r="E39" s="16">
        <v>638.84</v>
      </c>
      <c r="F39" s="16">
        <v>168.03</v>
      </c>
      <c r="G39" s="16">
        <v>168.03</v>
      </c>
      <c r="H39" s="16">
        <f>168.03+7263.98</f>
        <v>7432.009999999999</v>
      </c>
      <c r="I39" s="16">
        <v>375.13</v>
      </c>
      <c r="J39" s="16">
        <v>207.1</v>
      </c>
      <c r="K39" s="16">
        <v>207.1</v>
      </c>
      <c r="L39" s="16">
        <v>207.1</v>
      </c>
      <c r="M39" s="36">
        <v>207.1</v>
      </c>
      <c r="N39" s="16">
        <f t="shared" si="5"/>
        <v>9946.5</v>
      </c>
      <c r="W39" s="18"/>
    </row>
    <row r="40" spans="1:23" s="17" customFormat="1" ht="11.25">
      <c r="A40" s="19" t="s">
        <v>33</v>
      </c>
      <c r="B40" s="16">
        <v>15.65</v>
      </c>
      <c r="C40" s="16">
        <v>15.65</v>
      </c>
      <c r="D40" s="16">
        <v>15.65</v>
      </c>
      <c r="E40" s="16">
        <v>15.65</v>
      </c>
      <c r="F40" s="16">
        <v>15.65</v>
      </c>
      <c r="G40" s="16">
        <v>15.65</v>
      </c>
      <c r="H40" s="16">
        <v>15.65</v>
      </c>
      <c r="I40" s="16">
        <v>15.65</v>
      </c>
      <c r="J40" s="16">
        <v>15.65</v>
      </c>
      <c r="K40" s="16">
        <v>15.65</v>
      </c>
      <c r="L40" s="16">
        <v>15.65</v>
      </c>
      <c r="M40" s="36">
        <v>15.65</v>
      </c>
      <c r="N40" s="16">
        <f t="shared" si="5"/>
        <v>187.80000000000004</v>
      </c>
      <c r="W40" s="18"/>
    </row>
    <row r="41" spans="1:23" s="17" customFormat="1" ht="11.25">
      <c r="A41" s="16" t="s">
        <v>34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36"/>
      <c r="N41" s="16">
        <f t="shared" si="5"/>
        <v>0</v>
      </c>
      <c r="W41" s="18"/>
    </row>
    <row r="42" spans="1:23" s="17" customFormat="1" ht="11.25">
      <c r="A42" s="16" t="s">
        <v>30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36"/>
      <c r="N42" s="16">
        <f t="shared" si="5"/>
        <v>0</v>
      </c>
      <c r="W42" s="18"/>
    </row>
    <row r="43" spans="1:23" s="17" customFormat="1" ht="11.25">
      <c r="A43" s="16" t="s">
        <v>36</v>
      </c>
      <c r="B43" s="16">
        <v>906.27</v>
      </c>
      <c r="C43" s="16">
        <v>906.27</v>
      </c>
      <c r="D43" s="16">
        <v>906.27</v>
      </c>
      <c r="E43" s="16">
        <v>906.27</v>
      </c>
      <c r="F43" s="16">
        <v>906.27</v>
      </c>
      <c r="G43" s="16">
        <v>533.36</v>
      </c>
      <c r="H43" s="16">
        <f>1077.14+394.83</f>
        <v>1471.97</v>
      </c>
      <c r="I43" s="16">
        <f>602.12+361.24</f>
        <v>963.36</v>
      </c>
      <c r="J43" s="16">
        <f>596.98+366.38</f>
        <v>963.36</v>
      </c>
      <c r="K43" s="16">
        <f>650.94+312.42</f>
        <v>963.3600000000001</v>
      </c>
      <c r="L43" s="16">
        <v>963.36</v>
      </c>
      <c r="M43" s="36">
        <v>963.36</v>
      </c>
      <c r="N43" s="16">
        <f t="shared" si="5"/>
        <v>11353.480000000001</v>
      </c>
      <c r="W43" s="18"/>
    </row>
    <row r="44" spans="1:23" s="17" customFormat="1" ht="11.25">
      <c r="A44" s="16" t="s">
        <v>35</v>
      </c>
      <c r="B44" s="16">
        <v>206.94</v>
      </c>
      <c r="C44" s="16">
        <v>206.94</v>
      </c>
      <c r="D44" s="16">
        <v>206.94</v>
      </c>
      <c r="E44" s="16">
        <v>206.94</v>
      </c>
      <c r="F44" s="16">
        <v>206.94</v>
      </c>
      <c r="G44" s="16">
        <v>206.94</v>
      </c>
      <c r="H44" s="16">
        <v>249.76</v>
      </c>
      <c r="I44" s="16">
        <v>249.76</v>
      </c>
      <c r="J44" s="16">
        <v>249.76</v>
      </c>
      <c r="K44" s="16">
        <v>249.76</v>
      </c>
      <c r="L44" s="16">
        <v>249.76</v>
      </c>
      <c r="M44" s="36">
        <v>249.76</v>
      </c>
      <c r="N44" s="16">
        <f t="shared" si="5"/>
        <v>2740.2000000000007</v>
      </c>
      <c r="W44" s="18"/>
    </row>
    <row r="45" spans="1:23" s="17" customFormat="1" ht="11.25">
      <c r="A45" s="16" t="s">
        <v>29</v>
      </c>
      <c r="B45" s="16">
        <v>97.68</v>
      </c>
      <c r="C45" s="16">
        <v>282.98</v>
      </c>
      <c r="D45" s="16">
        <v>83.29</v>
      </c>
      <c r="E45" s="16">
        <v>165.21</v>
      </c>
      <c r="F45" s="16"/>
      <c r="G45" s="16">
        <v>100.59</v>
      </c>
      <c r="H45" s="16">
        <v>100.59</v>
      </c>
      <c r="I45" s="16">
        <v>168.72</v>
      </c>
      <c r="J45" s="16">
        <v>159.41</v>
      </c>
      <c r="K45" s="16">
        <v>178.82</v>
      </c>
      <c r="L45" s="16">
        <v>178.82</v>
      </c>
      <c r="M45" s="36">
        <v>101.91</v>
      </c>
      <c r="N45" s="16">
        <f t="shared" si="5"/>
        <v>1618.0200000000002</v>
      </c>
      <c r="W45" s="18"/>
    </row>
    <row r="46" spans="1:23" s="17" customFormat="1" ht="11.25">
      <c r="A46" s="16" t="s">
        <v>39</v>
      </c>
      <c r="B46" s="16">
        <v>1000</v>
      </c>
      <c r="C46" s="16">
        <v>582.15</v>
      </c>
      <c r="D46" s="16">
        <v>500</v>
      </c>
      <c r="E46" s="16">
        <v>1000</v>
      </c>
      <c r="F46" s="16">
        <v>1000</v>
      </c>
      <c r="G46" s="16">
        <v>1000</v>
      </c>
      <c r="H46" s="16">
        <v>1000</v>
      </c>
      <c r="I46" s="16">
        <v>1000</v>
      </c>
      <c r="J46" s="16">
        <v>1000</v>
      </c>
      <c r="K46" s="16">
        <v>1000</v>
      </c>
      <c r="L46" s="16">
        <v>1000</v>
      </c>
      <c r="M46" s="36">
        <v>1000</v>
      </c>
      <c r="N46" s="16">
        <f t="shared" si="5"/>
        <v>11082.15</v>
      </c>
      <c r="W46" s="18"/>
    </row>
    <row r="47" spans="1:23" s="17" customFormat="1" ht="11.25">
      <c r="A47" s="16" t="s">
        <v>40</v>
      </c>
      <c r="B47" s="16"/>
      <c r="C47" s="16"/>
      <c r="D47" s="16"/>
      <c r="E47" s="16"/>
      <c r="F47" s="16"/>
      <c r="G47" s="16">
        <v>315.93</v>
      </c>
      <c r="H47" s="16">
        <v>315.93</v>
      </c>
      <c r="I47" s="16">
        <v>315.93</v>
      </c>
      <c r="J47" s="16"/>
      <c r="K47" s="16"/>
      <c r="L47" s="16"/>
      <c r="M47" s="16"/>
      <c r="N47" s="16">
        <f t="shared" si="5"/>
        <v>947.79</v>
      </c>
      <c r="W47" s="18"/>
    </row>
    <row r="48" spans="1:23" s="17" customFormat="1" ht="11.25">
      <c r="A48" s="16" t="s">
        <v>41</v>
      </c>
      <c r="B48" s="16"/>
      <c r="C48" s="16"/>
      <c r="D48" s="16"/>
      <c r="E48" s="16"/>
      <c r="F48" s="16">
        <v>5352</v>
      </c>
      <c r="G48" s="16">
        <v>30</v>
      </c>
      <c r="H48" s="16"/>
      <c r="I48" s="16"/>
      <c r="J48" s="16"/>
      <c r="K48" s="16"/>
      <c r="L48" s="16"/>
      <c r="M48" s="16"/>
      <c r="N48" s="16">
        <f t="shared" si="5"/>
        <v>5382</v>
      </c>
      <c r="W48" s="18"/>
    </row>
    <row r="49" spans="1:23" s="17" customFormat="1" ht="11.25">
      <c r="A49" s="16" t="s">
        <v>145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>
        <v>314.65</v>
      </c>
      <c r="N49" s="16">
        <f>SUM(B49:M49)</f>
        <v>314.65</v>
      </c>
      <c r="W49" s="18"/>
    </row>
    <row r="50" spans="1:23" s="17" customFormat="1" ht="11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W50" s="18"/>
    </row>
    <row r="51" spans="1:23" s="17" customFormat="1" ht="11.25">
      <c r="A51" s="29" t="s">
        <v>42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W51" s="18"/>
    </row>
    <row r="52" spans="1:23" s="17" customFormat="1" ht="11.25">
      <c r="A52" s="16" t="s">
        <v>45</v>
      </c>
      <c r="B52" s="16">
        <v>68.75</v>
      </c>
      <c r="C52" s="16">
        <v>68.75</v>
      </c>
      <c r="D52" s="16">
        <v>68.75</v>
      </c>
      <c r="E52" s="16">
        <v>68.75</v>
      </c>
      <c r="F52" s="16">
        <v>68.75</v>
      </c>
      <c r="G52" s="16">
        <v>68.75</v>
      </c>
      <c r="H52" s="16">
        <v>68.75</v>
      </c>
      <c r="I52" s="16">
        <v>68.75</v>
      </c>
      <c r="J52" s="16">
        <v>68.75</v>
      </c>
      <c r="K52" s="16">
        <v>68.75</v>
      </c>
      <c r="L52" s="16">
        <v>68.75</v>
      </c>
      <c r="M52" s="36">
        <v>68.75</v>
      </c>
      <c r="N52" s="16">
        <f aca="true" t="shared" si="6" ref="N52:N71">B52+C52+D52+E52+F52+G52+H52+I52+J52+K52+L52+M52</f>
        <v>825</v>
      </c>
      <c r="W52" s="18"/>
    </row>
    <row r="53" spans="1:23" s="17" customFormat="1" ht="11.25">
      <c r="A53" s="16" t="s">
        <v>126</v>
      </c>
      <c r="B53" s="16">
        <v>239.25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36"/>
      <c r="N53" s="16">
        <f t="shared" si="6"/>
        <v>239.25</v>
      </c>
      <c r="W53" s="18"/>
    </row>
    <row r="54" spans="1:23" s="17" customFormat="1" ht="11.25">
      <c r="A54" s="16" t="s">
        <v>46</v>
      </c>
      <c r="B54" s="16"/>
      <c r="C54" s="16">
        <f>241.57+58.82</f>
        <v>300.39</v>
      </c>
      <c r="D54" s="16"/>
      <c r="E54" s="16"/>
      <c r="F54" s="16"/>
      <c r="G54" s="16"/>
      <c r="H54" s="16"/>
      <c r="I54" s="16"/>
      <c r="J54" s="16"/>
      <c r="K54" s="16"/>
      <c r="L54" s="16"/>
      <c r="M54" s="36"/>
      <c r="N54" s="16">
        <f t="shared" si="6"/>
        <v>300.39</v>
      </c>
      <c r="W54" s="18"/>
    </row>
    <row r="55" spans="1:23" s="17" customFormat="1" ht="11.25">
      <c r="A55" s="16" t="s">
        <v>52</v>
      </c>
      <c r="B55" s="16"/>
      <c r="C55" s="16">
        <v>250</v>
      </c>
      <c r="D55" s="16"/>
      <c r="E55" s="16"/>
      <c r="F55" s="16"/>
      <c r="G55" s="16"/>
      <c r="H55" s="16"/>
      <c r="I55" s="16"/>
      <c r="J55" s="16"/>
      <c r="K55" s="16"/>
      <c r="L55" s="16"/>
      <c r="M55" s="36"/>
      <c r="N55" s="16">
        <f t="shared" si="6"/>
        <v>250</v>
      </c>
      <c r="W55" s="18"/>
    </row>
    <row r="56" spans="1:23" s="17" customFormat="1" ht="11.25">
      <c r="A56" s="16" t="s">
        <v>47</v>
      </c>
      <c r="B56" s="16"/>
      <c r="C56" s="16">
        <v>117.65</v>
      </c>
      <c r="D56" s="16"/>
      <c r="E56" s="16"/>
      <c r="F56" s="16"/>
      <c r="G56" s="16"/>
      <c r="H56" s="16"/>
      <c r="I56" s="16"/>
      <c r="J56" s="16"/>
      <c r="K56" s="16"/>
      <c r="L56" s="16"/>
      <c r="M56" s="36"/>
      <c r="N56" s="16">
        <f t="shared" si="6"/>
        <v>117.65</v>
      </c>
      <c r="W56" s="18"/>
    </row>
    <row r="57" spans="1:23" s="17" customFormat="1" ht="11.25">
      <c r="A57" s="16" t="s">
        <v>48</v>
      </c>
      <c r="B57" s="16"/>
      <c r="C57" s="16"/>
      <c r="D57" s="16">
        <v>17.65</v>
      </c>
      <c r="E57" s="16"/>
      <c r="F57" s="16"/>
      <c r="G57" s="16"/>
      <c r="H57" s="16"/>
      <c r="I57" s="16"/>
      <c r="J57" s="16"/>
      <c r="K57" s="16"/>
      <c r="L57" s="16"/>
      <c r="M57" s="36"/>
      <c r="N57" s="16">
        <f t="shared" si="6"/>
        <v>17.65</v>
      </c>
      <c r="W57" s="18"/>
    </row>
    <row r="58" spans="1:23" s="17" customFormat="1" ht="11.25">
      <c r="A58" s="16" t="s">
        <v>50</v>
      </c>
      <c r="B58" s="16"/>
      <c r="C58" s="16"/>
      <c r="D58" s="30">
        <v>126.47</v>
      </c>
      <c r="E58" s="16"/>
      <c r="F58" s="16">
        <v>748</v>
      </c>
      <c r="G58" s="16">
        <v>420</v>
      </c>
      <c r="H58" s="16"/>
      <c r="I58" s="16">
        <v>25</v>
      </c>
      <c r="J58" s="16"/>
      <c r="K58" s="16"/>
      <c r="L58" s="16"/>
      <c r="M58" s="36"/>
      <c r="N58" s="16">
        <f t="shared" si="6"/>
        <v>1319.47</v>
      </c>
      <c r="W58" s="18"/>
    </row>
    <row r="59" spans="1:23" s="17" customFormat="1" ht="11.25">
      <c r="A59" s="16" t="s">
        <v>49</v>
      </c>
      <c r="B59" s="16"/>
      <c r="C59" s="16"/>
      <c r="D59" s="16"/>
      <c r="E59" s="16">
        <v>775</v>
      </c>
      <c r="F59" s="16"/>
      <c r="G59" s="16"/>
      <c r="H59" s="16"/>
      <c r="I59" s="16"/>
      <c r="J59" s="16"/>
      <c r="K59" s="16"/>
      <c r="L59" s="16"/>
      <c r="M59" s="36"/>
      <c r="N59" s="16">
        <f t="shared" si="6"/>
        <v>775</v>
      </c>
      <c r="W59" s="18"/>
    </row>
    <row r="60" spans="1:23" s="17" customFormat="1" ht="11.25">
      <c r="A60" s="16" t="s">
        <v>54</v>
      </c>
      <c r="B60" s="16"/>
      <c r="C60" s="16"/>
      <c r="D60" s="16"/>
      <c r="E60" s="16">
        <v>592</v>
      </c>
      <c r="F60" s="16"/>
      <c r="G60" s="16"/>
      <c r="H60" s="16"/>
      <c r="I60" s="16"/>
      <c r="J60" s="16"/>
      <c r="K60" s="16"/>
      <c r="L60" s="16"/>
      <c r="M60" s="36"/>
      <c r="N60" s="16">
        <f t="shared" si="6"/>
        <v>592</v>
      </c>
      <c r="W60" s="18"/>
    </row>
    <row r="61" spans="1:23" s="17" customFormat="1" ht="11.25">
      <c r="A61" s="16" t="s">
        <v>51</v>
      </c>
      <c r="B61" s="16"/>
      <c r="C61" s="16"/>
      <c r="D61" s="16"/>
      <c r="E61" s="16"/>
      <c r="F61" s="16">
        <v>405.71</v>
      </c>
      <c r="G61" s="16">
        <f>116.92+58.46</f>
        <v>175.38</v>
      </c>
      <c r="H61" s="16">
        <v>48.03</v>
      </c>
      <c r="I61" s="16">
        <v>80.77</v>
      </c>
      <c r="J61" s="16"/>
      <c r="K61" s="16"/>
      <c r="L61" s="16">
        <v>10.31</v>
      </c>
      <c r="M61" s="36"/>
      <c r="N61" s="16">
        <f t="shared" si="6"/>
        <v>720.1999999999998</v>
      </c>
      <c r="O61" s="17">
        <v>2</v>
      </c>
      <c r="W61" s="18"/>
    </row>
    <row r="62" spans="1:23" s="17" customFormat="1" ht="11.25">
      <c r="A62" s="19" t="s">
        <v>55</v>
      </c>
      <c r="B62" s="16"/>
      <c r="C62" s="16"/>
      <c r="D62" s="16"/>
      <c r="E62" s="16">
        <v>5853.25</v>
      </c>
      <c r="F62" s="16"/>
      <c r="G62" s="16"/>
      <c r="H62" s="16"/>
      <c r="I62" s="16"/>
      <c r="J62" s="16"/>
      <c r="K62" s="16"/>
      <c r="L62" s="16"/>
      <c r="M62" s="36"/>
      <c r="N62" s="16">
        <f t="shared" si="6"/>
        <v>5853.25</v>
      </c>
      <c r="W62" s="18"/>
    </row>
    <row r="63" spans="1:23" s="17" customFormat="1" ht="11.25">
      <c r="A63" s="16" t="s">
        <v>123</v>
      </c>
      <c r="B63" s="16"/>
      <c r="C63" s="16"/>
      <c r="D63" s="16"/>
      <c r="E63" s="16"/>
      <c r="F63" s="16"/>
      <c r="G63" s="16">
        <v>182.43</v>
      </c>
      <c r="H63" s="16"/>
      <c r="I63" s="16"/>
      <c r="J63" s="16"/>
      <c r="K63" s="16"/>
      <c r="L63" s="16"/>
      <c r="M63" s="36"/>
      <c r="N63" s="16">
        <f t="shared" si="6"/>
        <v>182.43</v>
      </c>
      <c r="W63" s="18"/>
    </row>
    <row r="64" spans="1:23" s="17" customFormat="1" ht="11.25">
      <c r="A64" s="16" t="s">
        <v>130</v>
      </c>
      <c r="B64" s="16"/>
      <c r="C64" s="16"/>
      <c r="D64" s="16"/>
      <c r="E64" s="16"/>
      <c r="F64" s="16"/>
      <c r="G64" s="16"/>
      <c r="H64" s="16">
        <v>161.76</v>
      </c>
      <c r="I64" s="16"/>
      <c r="J64" s="16"/>
      <c r="K64" s="16"/>
      <c r="L64" s="16"/>
      <c r="M64" s="36"/>
      <c r="N64" s="16">
        <f t="shared" si="6"/>
        <v>161.76</v>
      </c>
      <c r="W64" s="18"/>
    </row>
    <row r="65" spans="1:23" s="17" customFormat="1" ht="11.25">
      <c r="A65" s="16" t="s">
        <v>134</v>
      </c>
      <c r="B65" s="16"/>
      <c r="C65" s="16"/>
      <c r="D65" s="16"/>
      <c r="E65" s="16"/>
      <c r="F65" s="16"/>
      <c r="G65" s="16"/>
      <c r="H65" s="16">
        <v>93.53</v>
      </c>
      <c r="I65" s="16"/>
      <c r="J65" s="16"/>
      <c r="K65" s="16">
        <v>15.17</v>
      </c>
      <c r="L65" s="16"/>
      <c r="M65" s="36"/>
      <c r="N65" s="16">
        <f t="shared" si="6"/>
        <v>108.7</v>
      </c>
      <c r="W65" s="18"/>
    </row>
    <row r="66" spans="1:23" s="17" customFormat="1" ht="11.25">
      <c r="A66" s="16" t="s">
        <v>135</v>
      </c>
      <c r="B66" s="16"/>
      <c r="C66" s="16"/>
      <c r="D66" s="16"/>
      <c r="E66" s="16"/>
      <c r="F66" s="16"/>
      <c r="G66" s="16"/>
      <c r="H66" s="16">
        <v>4000</v>
      </c>
      <c r="I66" s="16"/>
      <c r="J66" s="16"/>
      <c r="K66" s="16"/>
      <c r="L66" s="16"/>
      <c r="M66" s="36"/>
      <c r="N66" s="16">
        <f t="shared" si="6"/>
        <v>4000</v>
      </c>
      <c r="W66" s="18"/>
    </row>
    <row r="67" spans="1:23" s="17" customFormat="1" ht="11.25">
      <c r="A67" s="16" t="s">
        <v>144</v>
      </c>
      <c r="B67" s="16"/>
      <c r="C67" s="16"/>
      <c r="D67" s="16"/>
      <c r="E67" s="16"/>
      <c r="F67" s="16"/>
      <c r="G67" s="16"/>
      <c r="H67" s="16"/>
      <c r="I67" s="16">
        <v>250</v>
      </c>
      <c r="J67" s="16"/>
      <c r="K67" s="16"/>
      <c r="L67" s="16"/>
      <c r="M67" s="36"/>
      <c r="N67" s="16">
        <f t="shared" si="6"/>
        <v>250</v>
      </c>
      <c r="W67" s="18"/>
    </row>
    <row r="68" spans="1:23" s="17" customFormat="1" ht="11.25">
      <c r="A68" s="16" t="s">
        <v>53</v>
      </c>
      <c r="B68" s="16"/>
      <c r="C68" s="16"/>
      <c r="D68" s="16"/>
      <c r="E68" s="16"/>
      <c r="F68" s="16">
        <v>1970</v>
      </c>
      <c r="G68" s="16"/>
      <c r="H68" s="16"/>
      <c r="I68" s="16"/>
      <c r="J68" s="16"/>
      <c r="K68" s="16"/>
      <c r="L68" s="16"/>
      <c r="M68" s="36"/>
      <c r="N68" s="16">
        <f t="shared" si="6"/>
        <v>1970</v>
      </c>
      <c r="W68" s="18"/>
    </row>
    <row r="69" spans="1:23" s="17" customFormat="1" ht="11.25">
      <c r="A69" s="16" t="s">
        <v>146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36">
        <v>27.06</v>
      </c>
      <c r="N69" s="16">
        <f t="shared" si="6"/>
        <v>27.06</v>
      </c>
      <c r="W69" s="18"/>
    </row>
    <row r="70" spans="1:23" s="17" customFormat="1" ht="11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36"/>
      <c r="N70" s="16">
        <f t="shared" si="6"/>
        <v>0</v>
      </c>
      <c r="W70" s="18"/>
    </row>
    <row r="71" spans="1:23" s="17" customFormat="1" ht="11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>
        <f t="shared" si="6"/>
        <v>0</v>
      </c>
      <c r="W71" s="18"/>
    </row>
    <row r="72" spans="1:23" s="17" customFormat="1" ht="11.25">
      <c r="A72" s="15" t="s">
        <v>16</v>
      </c>
      <c r="B72" s="15">
        <f aca="true" t="shared" si="7" ref="B72:N72">SUM(B35:B71)</f>
        <v>10173.54</v>
      </c>
      <c r="C72" s="15">
        <f t="shared" si="7"/>
        <v>12360.03</v>
      </c>
      <c r="D72" s="15">
        <f t="shared" si="7"/>
        <v>11353.100000000002</v>
      </c>
      <c r="E72" s="15">
        <f t="shared" si="7"/>
        <v>18324.940000000002</v>
      </c>
      <c r="F72" s="15">
        <f t="shared" si="7"/>
        <v>20311.46</v>
      </c>
      <c r="G72" s="15">
        <f t="shared" si="7"/>
        <v>11250.850000000002</v>
      </c>
      <c r="H72" s="15">
        <f t="shared" si="7"/>
        <v>23992.589999999997</v>
      </c>
      <c r="I72" s="15">
        <f t="shared" si="7"/>
        <v>11631.380000000001</v>
      </c>
      <c r="J72" s="15">
        <f t="shared" si="7"/>
        <v>12271.650000000001</v>
      </c>
      <c r="K72" s="15">
        <f t="shared" si="7"/>
        <v>11689.660000000002</v>
      </c>
      <c r="L72" s="15">
        <f t="shared" si="7"/>
        <v>10370.37</v>
      </c>
      <c r="M72" s="15">
        <f t="shared" si="7"/>
        <v>12970.26</v>
      </c>
      <c r="N72" s="15">
        <f t="shared" si="7"/>
        <v>166699.83000000002</v>
      </c>
      <c r="W72" s="18"/>
    </row>
    <row r="74" spans="1:14" ht="10.5" customHeight="1">
      <c r="A74" s="20" t="s">
        <v>141</v>
      </c>
      <c r="B74" s="21">
        <f aca="true" t="shared" si="8" ref="B74:N74">B11+B27-B72</f>
        <v>21144.699999999997</v>
      </c>
      <c r="C74" s="21">
        <f t="shared" si="8"/>
        <v>17278.979999999996</v>
      </c>
      <c r="D74" s="21">
        <f t="shared" si="8"/>
        <v>20873.139999999996</v>
      </c>
      <c r="E74" s="21">
        <f t="shared" si="8"/>
        <v>9807.359999999993</v>
      </c>
      <c r="F74" s="21">
        <f t="shared" si="8"/>
        <v>-1148.6800000000076</v>
      </c>
      <c r="G74" s="21">
        <f t="shared" si="8"/>
        <v>10137.069999999989</v>
      </c>
      <c r="H74" s="21">
        <f t="shared" si="8"/>
        <v>-1613.8400000000074</v>
      </c>
      <c r="I74" s="21">
        <f t="shared" si="8"/>
        <v>-967.1700000000092</v>
      </c>
      <c r="J74" s="21">
        <f t="shared" si="8"/>
        <v>-2521.8500000000113</v>
      </c>
      <c r="K74" s="33">
        <f t="shared" si="8"/>
        <v>-1973.6200000000135</v>
      </c>
      <c r="L74" s="21">
        <f t="shared" si="8"/>
        <v>-7049.910000000014</v>
      </c>
      <c r="M74" s="21">
        <f t="shared" si="8"/>
        <v>-10751.290000000014</v>
      </c>
      <c r="N74" s="22">
        <f t="shared" si="8"/>
        <v>-10751.290000000037</v>
      </c>
    </row>
    <row r="75" spans="1:14" ht="11.25" hidden="1">
      <c r="A75" s="5" t="s">
        <v>27</v>
      </c>
      <c r="B75" s="5"/>
      <c r="C75" s="5"/>
      <c r="D75" s="5"/>
      <c r="E75" s="5"/>
      <c r="F75" s="5"/>
      <c r="G75" s="5"/>
      <c r="H75" s="5"/>
      <c r="I75" s="5"/>
      <c r="J75" s="5"/>
      <c r="K75" s="34"/>
      <c r="L75" s="5"/>
      <c r="M75" s="5"/>
      <c r="N75" s="4"/>
    </row>
    <row r="76" spans="1:14" ht="11.25" hidden="1">
      <c r="A76" s="23"/>
      <c r="B76" s="5"/>
      <c r="C76" s="5"/>
      <c r="D76" s="5"/>
      <c r="E76" s="5"/>
      <c r="F76" s="5"/>
      <c r="G76" s="5"/>
      <c r="H76" s="5"/>
      <c r="I76" s="5"/>
      <c r="J76" s="5"/>
      <c r="K76" s="34"/>
      <c r="L76" s="5"/>
      <c r="M76" s="5"/>
      <c r="N76" s="4"/>
    </row>
    <row r="77" spans="1:14" s="2" customFormat="1" ht="11.25" hidden="1">
      <c r="A77" s="4" t="s">
        <v>28</v>
      </c>
      <c r="B77" s="4"/>
      <c r="C77" s="4"/>
      <c r="D77" s="4"/>
      <c r="E77" s="4"/>
      <c r="F77" s="4"/>
      <c r="G77" s="4"/>
      <c r="H77" s="4"/>
      <c r="I77" s="4"/>
      <c r="J77" s="4"/>
      <c r="K77" s="35"/>
      <c r="L77" s="4"/>
      <c r="M77" s="4"/>
      <c r="N77" s="4"/>
    </row>
    <row r="78" spans="1:14" s="2" customFormat="1" ht="11.25" hidden="1">
      <c r="A78" s="20" t="s">
        <v>23</v>
      </c>
      <c r="B78" s="4">
        <f aca="true" t="shared" si="9" ref="B78:K78">B74-B77</f>
        <v>21144.699999999997</v>
      </c>
      <c r="C78" s="4">
        <f t="shared" si="9"/>
        <v>17278.979999999996</v>
      </c>
      <c r="D78" s="4">
        <f t="shared" si="9"/>
        <v>20873.139999999996</v>
      </c>
      <c r="E78" s="4">
        <f t="shared" si="9"/>
        <v>9807.359999999993</v>
      </c>
      <c r="F78" s="4">
        <f t="shared" si="9"/>
        <v>-1148.6800000000076</v>
      </c>
      <c r="G78" s="4">
        <f t="shared" si="9"/>
        <v>10137.069999999989</v>
      </c>
      <c r="H78" s="4">
        <f t="shared" si="9"/>
        <v>-1613.8400000000074</v>
      </c>
      <c r="I78" s="4">
        <f t="shared" si="9"/>
        <v>-967.1700000000092</v>
      </c>
      <c r="J78" s="4">
        <f t="shared" si="9"/>
        <v>-2521.8500000000113</v>
      </c>
      <c r="K78" s="35">
        <f t="shared" si="9"/>
        <v>-1973.6200000000135</v>
      </c>
      <c r="L78" s="4">
        <f>L74-L77</f>
        <v>-7049.910000000014</v>
      </c>
      <c r="M78" s="4">
        <f>M74-M77</f>
        <v>-10751.290000000014</v>
      </c>
      <c r="N78" s="4">
        <f>N74-N77</f>
        <v>-10751.290000000037</v>
      </c>
    </row>
    <row r="79" spans="1:14" s="2" customFormat="1" ht="11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</row>
    <row r="80" ht="11.25">
      <c r="A80" s="1" t="s">
        <v>24</v>
      </c>
    </row>
    <row r="81" ht="11.25">
      <c r="A81" s="1" t="s">
        <v>25</v>
      </c>
    </row>
  </sheetData>
  <sheetProtection selectLockedCells="1" selectUnlockedCells="1"/>
  <mergeCells count="1">
    <mergeCell ref="A1:N1"/>
  </mergeCells>
  <printOptions/>
  <pageMargins left="0.29" right="0.15" top="0.3" bottom="0.18" header="0.22" footer="0.1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Y70"/>
  <sheetViews>
    <sheetView zoomScalePageLayoutView="0" workbookViewId="0" topLeftCell="A1">
      <pane xSplit="2" ySplit="4" topLeftCell="O44" activePane="bottomRight" state="frozen"/>
      <selection pane="topLeft" activeCell="N80" activeCellId="2" sqref="N80 N80 N80"/>
      <selection pane="topRight" activeCell="N80" activeCellId="2" sqref="N80 N80 N80"/>
      <selection pane="bottomLeft" activeCell="N80" activeCellId="2" sqref="N80 N80 N80"/>
      <selection pane="bottomRight" activeCell="B57" sqref="B57"/>
    </sheetView>
  </sheetViews>
  <sheetFormatPr defaultColWidth="26.75390625" defaultRowHeight="12.75"/>
  <cols>
    <col min="1" max="1" width="14.00390625" style="86" customWidth="1"/>
    <col min="2" max="2" width="43.75390625" style="86" customWidth="1"/>
    <col min="3" max="3" width="8.625" style="86" hidden="1" customWidth="1"/>
    <col min="4" max="5" width="9.375" style="86" hidden="1" customWidth="1"/>
    <col min="6" max="6" width="10.25390625" style="86" hidden="1" customWidth="1"/>
    <col min="7" max="7" width="9.125" style="86" hidden="1" customWidth="1"/>
    <col min="8" max="8" width="9.00390625" style="86" hidden="1" customWidth="1"/>
    <col min="9" max="9" width="8.875" style="86" hidden="1" customWidth="1"/>
    <col min="10" max="10" width="9.25390625" style="86" hidden="1" customWidth="1"/>
    <col min="11" max="11" width="11.25390625" style="86" hidden="1" customWidth="1"/>
    <col min="12" max="12" width="9.75390625" style="86" hidden="1" customWidth="1"/>
    <col min="13" max="13" width="8.75390625" style="86" hidden="1" customWidth="1"/>
    <col min="14" max="14" width="9.25390625" style="86" hidden="1" customWidth="1"/>
    <col min="15" max="15" width="9.25390625" style="87" customWidth="1"/>
    <col min="16" max="16" width="7.625" style="86" customWidth="1"/>
    <col min="17" max="24" width="26.75390625" style="86" customWidth="1"/>
    <col min="25" max="25" width="26.75390625" style="87" customWidth="1"/>
    <col min="26" max="16384" width="26.75390625" style="86" customWidth="1"/>
  </cols>
  <sheetData>
    <row r="1" spans="2:15" ht="12">
      <c r="B1" s="194" t="s">
        <v>151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2:16" ht="12">
      <c r="B2" s="194" t="s">
        <v>152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85"/>
    </row>
    <row r="3" spans="2:16" ht="12">
      <c r="B3" s="199" t="s">
        <v>106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85"/>
    </row>
    <row r="4" spans="2:15" ht="24">
      <c r="B4" s="157" t="s">
        <v>107</v>
      </c>
      <c r="C4" s="158" t="s">
        <v>0</v>
      </c>
      <c r="D4" s="158" t="s">
        <v>1</v>
      </c>
      <c r="E4" s="158" t="s">
        <v>2</v>
      </c>
      <c r="F4" s="158" t="s">
        <v>3</v>
      </c>
      <c r="G4" s="158" t="s">
        <v>4</v>
      </c>
      <c r="H4" s="158" t="s">
        <v>5</v>
      </c>
      <c r="I4" s="158" t="s">
        <v>6</v>
      </c>
      <c r="J4" s="158" t="s">
        <v>7</v>
      </c>
      <c r="K4" s="158" t="s">
        <v>8</v>
      </c>
      <c r="L4" s="158" t="s">
        <v>9</v>
      </c>
      <c r="M4" s="158" t="s">
        <v>10</v>
      </c>
      <c r="N4" s="158" t="s">
        <v>11</v>
      </c>
      <c r="O4" s="92" t="s">
        <v>150</v>
      </c>
    </row>
    <row r="5" spans="2:15" ht="12">
      <c r="B5" s="94" t="s">
        <v>43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4"/>
    </row>
    <row r="6" spans="2:15" ht="12">
      <c r="B6" s="93" t="s">
        <v>13</v>
      </c>
      <c r="C6" s="93">
        <v>-21925.85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>
        <f>C6+D6+E6+F6+G6+H6+I6+J6+K6+L6+M6+N6</f>
        <v>-21925.85</v>
      </c>
    </row>
    <row r="7" spans="2:15" s="87" customFormat="1" ht="12">
      <c r="B7" s="94" t="s">
        <v>16</v>
      </c>
      <c r="C7" s="94">
        <f>C6</f>
        <v>-21925.85</v>
      </c>
      <c r="D7" s="94">
        <f aca="true" t="shared" si="0" ref="D7:I7">C63</f>
        <v>-27462</v>
      </c>
      <c r="E7" s="94">
        <f t="shared" si="0"/>
        <v>-29416.35</v>
      </c>
      <c r="F7" s="94">
        <f t="shared" si="0"/>
        <v>-28077.549999999996</v>
      </c>
      <c r="G7" s="94">
        <f t="shared" si="0"/>
        <v>-32038.729999999992</v>
      </c>
      <c r="H7" s="94">
        <f t="shared" si="0"/>
        <v>-42268.09999999999</v>
      </c>
      <c r="I7" s="94">
        <f t="shared" si="0"/>
        <v>-39728.30999999999</v>
      </c>
      <c r="J7" s="94">
        <f>I63</f>
        <v>-47431.05999999998</v>
      </c>
      <c r="K7" s="94">
        <f>J63</f>
        <v>-47786.47999999998</v>
      </c>
      <c r="L7" s="94">
        <f>K63</f>
        <v>-50245.22999999998</v>
      </c>
      <c r="M7" s="94">
        <f>L63</f>
        <v>-50900.17999999998</v>
      </c>
      <c r="N7" s="94">
        <f>M63</f>
        <v>-37192.769999999975</v>
      </c>
      <c r="O7" s="94">
        <f>O6</f>
        <v>-21925.85</v>
      </c>
    </row>
    <row r="8" spans="2:15" ht="12"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4"/>
    </row>
    <row r="9" spans="2:25" s="97" customFormat="1" ht="12">
      <c r="B9" s="95" t="s">
        <v>17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5"/>
      <c r="Y9" s="98"/>
    </row>
    <row r="10" spans="2:25" s="97" customFormat="1" ht="12">
      <c r="B10" s="96" t="s">
        <v>13</v>
      </c>
      <c r="C10" s="101">
        <v>15219.96</v>
      </c>
      <c r="D10" s="101">
        <v>15219.96</v>
      </c>
      <c r="E10" s="101">
        <v>15219.96</v>
      </c>
      <c r="F10" s="101">
        <v>15219.96</v>
      </c>
      <c r="G10" s="101">
        <v>15219.96</v>
      </c>
      <c r="H10" s="101">
        <v>15219.96</v>
      </c>
      <c r="I10" s="96">
        <v>15219.96</v>
      </c>
      <c r="J10" s="96">
        <v>15219.96</v>
      </c>
      <c r="K10" s="96">
        <v>15219.96</v>
      </c>
      <c r="L10" s="96">
        <v>15219.96</v>
      </c>
      <c r="M10" s="96">
        <v>15219.96</v>
      </c>
      <c r="N10" s="96">
        <v>15219.96</v>
      </c>
      <c r="O10" s="96">
        <f>C10+D10+E10+F10+G10+H10+I10+J10+K10+L10+M10+N10</f>
        <v>182639.51999999993</v>
      </c>
      <c r="Y10" s="98"/>
    </row>
    <row r="11" spans="2:25" s="97" customFormat="1" ht="12">
      <c r="B11" s="96" t="s">
        <v>205</v>
      </c>
      <c r="C11" s="96"/>
      <c r="D11" s="96"/>
      <c r="E11" s="96"/>
      <c r="F11" s="96"/>
      <c r="G11" s="96"/>
      <c r="H11" s="96"/>
      <c r="I11" s="96"/>
      <c r="J11" s="96"/>
      <c r="K11" s="96"/>
      <c r="L11" s="96">
        <v>6925.32</v>
      </c>
      <c r="M11" s="96"/>
      <c r="N11" s="96"/>
      <c r="O11" s="96">
        <f>C11+D11+E11+F11+G11+H11+I11+J11+K11+L11+M11+N11</f>
        <v>6925.32</v>
      </c>
      <c r="Y11" s="98"/>
    </row>
    <row r="12" spans="2:15" s="98" customFormat="1" ht="12">
      <c r="B12" s="95" t="s">
        <v>16</v>
      </c>
      <c r="C12" s="95">
        <f aca="true" t="shared" si="1" ref="C12:N12">SUM(C8:C11)</f>
        <v>15219.96</v>
      </c>
      <c r="D12" s="95">
        <f t="shared" si="1"/>
        <v>15219.96</v>
      </c>
      <c r="E12" s="95">
        <f t="shared" si="1"/>
        <v>15219.96</v>
      </c>
      <c r="F12" s="95">
        <f t="shared" si="1"/>
        <v>15219.96</v>
      </c>
      <c r="G12" s="95">
        <f t="shared" si="1"/>
        <v>15219.96</v>
      </c>
      <c r="H12" s="95">
        <f t="shared" si="1"/>
        <v>15219.96</v>
      </c>
      <c r="I12" s="95">
        <f t="shared" si="1"/>
        <v>15219.96</v>
      </c>
      <c r="J12" s="95">
        <f t="shared" si="1"/>
        <v>15219.96</v>
      </c>
      <c r="K12" s="95">
        <f t="shared" si="1"/>
        <v>15219.96</v>
      </c>
      <c r="L12" s="95">
        <f t="shared" si="1"/>
        <v>22145.28</v>
      </c>
      <c r="M12" s="95">
        <f t="shared" si="1"/>
        <v>15219.96</v>
      </c>
      <c r="N12" s="95">
        <f t="shared" si="1"/>
        <v>15219.96</v>
      </c>
      <c r="O12" s="95">
        <f>C12+D12+E12+F12+G12+H12+I12+J12+K12+L12+M12+N12</f>
        <v>189564.83999999994</v>
      </c>
    </row>
    <row r="13" spans="2:15" ht="12"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4"/>
    </row>
    <row r="14" spans="2:25" s="102" customFormat="1" ht="12">
      <c r="B14" s="100" t="s">
        <v>18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0"/>
      <c r="Y14" s="103"/>
    </row>
    <row r="15" spans="2:25" s="102" customFormat="1" ht="12">
      <c r="B15" s="101" t="s">
        <v>13</v>
      </c>
      <c r="C15" s="101">
        <f>7655.83+1000</f>
        <v>8655.83</v>
      </c>
      <c r="D15" s="101">
        <v>11030.53</v>
      </c>
      <c r="E15" s="101">
        <f>12812.28+500</f>
        <v>13312.28</v>
      </c>
      <c r="F15" s="101">
        <f>7530.04+1000</f>
        <v>8530.04</v>
      </c>
      <c r="G15" s="101">
        <f>7763.68+1000</f>
        <v>8763.68</v>
      </c>
      <c r="H15" s="101">
        <f>13223.49+1000+182.43</f>
        <v>14405.92</v>
      </c>
      <c r="I15" s="101">
        <f>11969.91+1000</f>
        <v>12969.91</v>
      </c>
      <c r="J15" s="101">
        <f>10199.8+1000+250</f>
        <v>11449.8</v>
      </c>
      <c r="K15" s="101">
        <f>14438.94+1000</f>
        <v>15438.94</v>
      </c>
      <c r="L15" s="101">
        <f>11197.03</f>
        <v>11197.03</v>
      </c>
      <c r="M15" s="101">
        <v>22468.11</v>
      </c>
      <c r="N15" s="101">
        <v>12941.7</v>
      </c>
      <c r="O15" s="101">
        <f>C15+D15+E15+F15+G15+H15+I15+J15+K15+L15+M15+N15</f>
        <v>151163.77000000002</v>
      </c>
      <c r="Y15" s="103"/>
    </row>
    <row r="16" spans="2:25" s="102" customFormat="1" ht="12">
      <c r="B16" s="96" t="s">
        <v>205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>
        <v>2376.94</v>
      </c>
      <c r="N16" s="101">
        <v>2749.91</v>
      </c>
      <c r="O16" s="101">
        <f>C16+D16+E16+F16+G16+H16+I16+J16+K16+L16+M16+N16</f>
        <v>5126.85</v>
      </c>
      <c r="Y16" s="103"/>
    </row>
    <row r="17" spans="2:15" s="103" customFormat="1" ht="12">
      <c r="B17" s="100" t="s">
        <v>16</v>
      </c>
      <c r="C17" s="100">
        <f aca="true" t="shared" si="2" ref="C17:O17">SUM(C15:C16)</f>
        <v>8655.83</v>
      </c>
      <c r="D17" s="100">
        <f t="shared" si="2"/>
        <v>11030.53</v>
      </c>
      <c r="E17" s="100">
        <f t="shared" si="2"/>
        <v>13312.28</v>
      </c>
      <c r="F17" s="100">
        <f t="shared" si="2"/>
        <v>8530.04</v>
      </c>
      <c r="G17" s="100">
        <f t="shared" si="2"/>
        <v>8763.68</v>
      </c>
      <c r="H17" s="100">
        <f t="shared" si="2"/>
        <v>14405.92</v>
      </c>
      <c r="I17" s="100">
        <f t="shared" si="2"/>
        <v>12969.91</v>
      </c>
      <c r="J17" s="100">
        <f t="shared" si="2"/>
        <v>11449.8</v>
      </c>
      <c r="K17" s="100">
        <f t="shared" si="2"/>
        <v>15438.94</v>
      </c>
      <c r="L17" s="100">
        <f t="shared" si="2"/>
        <v>11197.03</v>
      </c>
      <c r="M17" s="100">
        <f t="shared" si="2"/>
        <v>24845.05</v>
      </c>
      <c r="N17" s="100">
        <f t="shared" si="2"/>
        <v>15691.61</v>
      </c>
      <c r="O17" s="100">
        <f t="shared" si="2"/>
        <v>156290.62000000002</v>
      </c>
    </row>
    <row r="18" spans="2:15" ht="12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4"/>
    </row>
    <row r="19" spans="2:15" ht="12">
      <c r="B19" s="94" t="s">
        <v>19</v>
      </c>
      <c r="C19" s="104">
        <f aca="true" t="shared" si="3" ref="C19:O19">C17/C12</f>
        <v>0.5687156865064035</v>
      </c>
      <c r="D19" s="104">
        <f t="shared" si="3"/>
        <v>0.7247410637084462</v>
      </c>
      <c r="E19" s="104">
        <f t="shared" si="3"/>
        <v>0.8746593289338475</v>
      </c>
      <c r="F19" s="104">
        <f t="shared" si="3"/>
        <v>0.5604508816054709</v>
      </c>
      <c r="G19" s="104">
        <f t="shared" si="3"/>
        <v>0.5758017760887677</v>
      </c>
      <c r="H19" s="104">
        <f t="shared" si="3"/>
        <v>0.9465149711300161</v>
      </c>
      <c r="I19" s="104">
        <f t="shared" si="3"/>
        <v>0.8521645260565731</v>
      </c>
      <c r="J19" s="104">
        <f t="shared" si="3"/>
        <v>0.7522884422823714</v>
      </c>
      <c r="K19" s="104">
        <f t="shared" si="3"/>
        <v>1.0143876856443776</v>
      </c>
      <c r="L19" s="104">
        <f t="shared" si="3"/>
        <v>0.5056169982948963</v>
      </c>
      <c r="M19" s="104">
        <f t="shared" si="3"/>
        <v>1.6323991653066106</v>
      </c>
      <c r="N19" s="104">
        <f t="shared" si="3"/>
        <v>1.0309889119288094</v>
      </c>
      <c r="O19" s="105">
        <f t="shared" si="3"/>
        <v>0.8244705083495445</v>
      </c>
    </row>
    <row r="20" spans="2:15" ht="12">
      <c r="B20" s="9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6"/>
    </row>
    <row r="21" spans="2:15" ht="12">
      <c r="B21" s="94" t="s">
        <v>20</v>
      </c>
      <c r="C21" s="107">
        <f aca="true" t="shared" si="4" ref="C21:O21">C12-C17</f>
        <v>6564.129999999999</v>
      </c>
      <c r="D21" s="107">
        <f t="shared" si="4"/>
        <v>4189.4299999999985</v>
      </c>
      <c r="E21" s="107">
        <f t="shared" si="4"/>
        <v>1907.6799999999985</v>
      </c>
      <c r="F21" s="107">
        <f t="shared" si="4"/>
        <v>6689.919999999998</v>
      </c>
      <c r="G21" s="107">
        <f t="shared" si="4"/>
        <v>6456.279999999999</v>
      </c>
      <c r="H21" s="107">
        <f t="shared" si="4"/>
        <v>814.039999999999</v>
      </c>
      <c r="I21" s="107">
        <f t="shared" si="4"/>
        <v>2250.0499999999993</v>
      </c>
      <c r="J21" s="107">
        <f t="shared" si="4"/>
        <v>3770.16</v>
      </c>
      <c r="K21" s="107">
        <f t="shared" si="4"/>
        <v>-218.98000000000138</v>
      </c>
      <c r="L21" s="107">
        <f t="shared" si="4"/>
        <v>10948.249999999998</v>
      </c>
      <c r="M21" s="107">
        <f t="shared" si="4"/>
        <v>-9625.09</v>
      </c>
      <c r="N21" s="107">
        <f t="shared" si="4"/>
        <v>-471.65000000000146</v>
      </c>
      <c r="O21" s="107">
        <f t="shared" si="4"/>
        <v>33274.219999999914</v>
      </c>
    </row>
    <row r="22" spans="2:15" ht="12"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4"/>
    </row>
    <row r="23" spans="2:25" s="109" customFormat="1" ht="12">
      <c r="B23" s="108" t="s">
        <v>21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108"/>
      <c r="Y23" s="110"/>
    </row>
    <row r="24" spans="2:25" s="109" customFormat="1" ht="12"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108"/>
      <c r="Y24" s="110"/>
    </row>
    <row r="25" spans="2:25" s="109" customFormat="1" ht="12">
      <c r="B25" s="99" t="s">
        <v>22</v>
      </c>
      <c r="C25" s="99">
        <v>235.87</v>
      </c>
      <c r="D25" s="99">
        <v>186.07</v>
      </c>
      <c r="E25" s="99">
        <v>463.54</v>
      </c>
      <c r="F25" s="99">
        <f>255.1+52.42</f>
        <v>307.52</v>
      </c>
      <c r="G25" s="99">
        <v>1688.1</v>
      </c>
      <c r="H25" s="99">
        <f>190.11+54.5+100.59</f>
        <v>345.20000000000005</v>
      </c>
      <c r="I25" s="99">
        <v>269.36</v>
      </c>
      <c r="J25" s="99">
        <v>274.95</v>
      </c>
      <c r="K25" s="99">
        <v>246.08</v>
      </c>
      <c r="L25" s="99">
        <v>343.14</v>
      </c>
      <c r="M25" s="99">
        <v>111.11</v>
      </c>
      <c r="N25" s="99">
        <v>291.76</v>
      </c>
      <c r="O25" s="99">
        <f>C25+D25+E25+F25+G25+H25+I25+J25+K25+L25+M25+N25</f>
        <v>4762.7</v>
      </c>
      <c r="Y25" s="110"/>
    </row>
    <row r="26" spans="2:25" s="109" customFormat="1" ht="12">
      <c r="B26" s="99" t="s">
        <v>185</v>
      </c>
      <c r="C26" s="99">
        <v>5357.42</v>
      </c>
      <c r="D26" s="99">
        <v>5357.42</v>
      </c>
      <c r="E26" s="99">
        <v>5357.42</v>
      </c>
      <c r="F26" s="99">
        <v>5357.42</v>
      </c>
      <c r="G26" s="99">
        <v>5357.42</v>
      </c>
      <c r="H26" s="99">
        <v>5357.42</v>
      </c>
      <c r="I26" s="99">
        <v>5357.42</v>
      </c>
      <c r="J26" s="99">
        <v>4924.32</v>
      </c>
      <c r="K26" s="99">
        <v>5015.83</v>
      </c>
      <c r="L26" s="99">
        <v>5015.83</v>
      </c>
      <c r="M26" s="99">
        <v>5015.83</v>
      </c>
      <c r="N26" s="99">
        <v>5015.83</v>
      </c>
      <c r="O26" s="99">
        <f aca="true" t="shared" si="5" ref="O26:O60">C26+D26+E26+F26+G26+H26+I26+J26+K26+L26+M26+N26</f>
        <v>62489.58</v>
      </c>
      <c r="Y26" s="110"/>
    </row>
    <row r="27" spans="2:25" s="109" customFormat="1" ht="12">
      <c r="B27" s="99" t="s">
        <v>31</v>
      </c>
      <c r="C27" s="99">
        <f>718.6+590.91</f>
        <v>1309.51</v>
      </c>
      <c r="D27" s="99">
        <f>718.6+1143.2</f>
        <v>1861.8000000000002</v>
      </c>
      <c r="E27" s="99">
        <f>718.6+661.78</f>
        <v>1380.38</v>
      </c>
      <c r="F27" s="99">
        <v>412.07</v>
      </c>
      <c r="G27" s="99">
        <f>412.07</f>
        <v>412.07</v>
      </c>
      <c r="H27" s="99">
        <v>412.07</v>
      </c>
      <c r="I27" s="99">
        <v>1394.58</v>
      </c>
      <c r="J27" s="99">
        <v>1066.56</v>
      </c>
      <c r="K27" s="99">
        <v>1066.56</v>
      </c>
      <c r="L27" s="99">
        <v>1066.56</v>
      </c>
      <c r="M27" s="99">
        <v>1066.56</v>
      </c>
      <c r="N27" s="99">
        <v>1066.56</v>
      </c>
      <c r="O27" s="99">
        <f>C27+D27+E27+F27+G27+H27+I27+J27+K27+L27+M27+N27+544.98</f>
        <v>13060.259999999997</v>
      </c>
      <c r="Y27" s="110"/>
    </row>
    <row r="28" spans="2:25" s="109" customFormat="1" ht="12">
      <c r="B28" s="99" t="s">
        <v>32</v>
      </c>
      <c r="C28" s="99">
        <f>1339.49</f>
        <v>1339.49</v>
      </c>
      <c r="D28" s="99">
        <v>2670.94</v>
      </c>
      <c r="E28" s="99">
        <f>1321.6+1349.34</f>
        <v>2670.9399999999996</v>
      </c>
      <c r="F28" s="99">
        <f>1460.38+1165.72</f>
        <v>2626.1000000000004</v>
      </c>
      <c r="G28" s="99">
        <f>1452.74+1165.72</f>
        <v>2618.46</v>
      </c>
      <c r="H28" s="99">
        <f>1307.95+1318.13</f>
        <v>2626.08</v>
      </c>
      <c r="I28" s="99">
        <v>2626.09</v>
      </c>
      <c r="J28" s="99">
        <f>1907.43</f>
        <v>1907.43</v>
      </c>
      <c r="K28" s="99">
        <f>718.66+1144.46+1481.63</f>
        <v>3344.75</v>
      </c>
      <c r="L28" s="99">
        <f>1907.43+718.66</f>
        <v>2626.09</v>
      </c>
      <c r="M28" s="99">
        <v>1536.13</v>
      </c>
      <c r="N28" s="99">
        <f>1362.45+1089.96+1263.64</f>
        <v>3716.05</v>
      </c>
      <c r="O28" s="99">
        <f t="shared" si="5"/>
        <v>30308.55</v>
      </c>
      <c r="Y28" s="110"/>
    </row>
    <row r="29" spans="2:25" s="109" customFormat="1" ht="12">
      <c r="B29" s="99" t="s">
        <v>26</v>
      </c>
      <c r="C29" s="99">
        <v>3408.17</v>
      </c>
      <c r="D29" s="99">
        <v>169.2</v>
      </c>
      <c r="E29" s="99">
        <v>169.2</v>
      </c>
      <c r="F29" s="99">
        <v>643.31</v>
      </c>
      <c r="G29" s="99">
        <v>169.2</v>
      </c>
      <c r="H29" s="99">
        <v>169.2</v>
      </c>
      <c r="I29" s="99">
        <f>169.2+7314.88</f>
        <v>7484.08</v>
      </c>
      <c r="J29" s="99">
        <v>377.75</v>
      </c>
      <c r="K29" s="99">
        <v>208.55</v>
      </c>
      <c r="L29" s="99">
        <v>208.55</v>
      </c>
      <c r="M29" s="99">
        <v>208.55</v>
      </c>
      <c r="N29" s="99">
        <v>208.55</v>
      </c>
      <c r="O29" s="99">
        <f t="shared" si="5"/>
        <v>13424.309999999996</v>
      </c>
      <c r="Y29" s="110"/>
    </row>
    <row r="30" spans="2:25" s="109" customFormat="1" ht="12">
      <c r="B30" s="111" t="s">
        <v>33</v>
      </c>
      <c r="C30" s="99">
        <v>15.75</v>
      </c>
      <c r="D30" s="99">
        <v>15.75</v>
      </c>
      <c r="E30" s="99">
        <v>15.75</v>
      </c>
      <c r="F30" s="99">
        <v>15.75</v>
      </c>
      <c r="G30" s="99">
        <v>15.75</v>
      </c>
      <c r="H30" s="99">
        <v>15.75</v>
      </c>
      <c r="I30" s="99">
        <v>15.75</v>
      </c>
      <c r="J30" s="99">
        <v>15.75</v>
      </c>
      <c r="K30" s="99">
        <v>15.75</v>
      </c>
      <c r="L30" s="99">
        <v>15.75</v>
      </c>
      <c r="M30" s="99">
        <v>15.75</v>
      </c>
      <c r="N30" s="99">
        <v>15.75</v>
      </c>
      <c r="O30" s="99">
        <f t="shared" si="5"/>
        <v>189</v>
      </c>
      <c r="Y30" s="110"/>
    </row>
    <row r="31" spans="2:25" s="109" customFormat="1" ht="12">
      <c r="B31" s="99" t="s">
        <v>36</v>
      </c>
      <c r="C31" s="99">
        <v>911.48</v>
      </c>
      <c r="D31" s="99">
        <v>911.48</v>
      </c>
      <c r="E31" s="99">
        <v>911.48</v>
      </c>
      <c r="F31" s="99">
        <v>911.48</v>
      </c>
      <c r="G31" s="99">
        <v>911.48</v>
      </c>
      <c r="H31" s="99">
        <v>537.1</v>
      </c>
      <c r="I31" s="99">
        <f>1084.68+397.6</f>
        <v>1482.2800000000002</v>
      </c>
      <c r="J31" s="99">
        <f>606.33+363.78</f>
        <v>970.11</v>
      </c>
      <c r="K31" s="99">
        <f>601.17+368.94</f>
        <v>970.1099999999999</v>
      </c>
      <c r="L31" s="99">
        <f>655.5+314.61</f>
        <v>970.11</v>
      </c>
      <c r="M31" s="99">
        <f>635.85+334.26</f>
        <v>970.11</v>
      </c>
      <c r="N31" s="99">
        <f>676.25+293.86</f>
        <v>970.11</v>
      </c>
      <c r="O31" s="99">
        <f t="shared" si="5"/>
        <v>11427.330000000002</v>
      </c>
      <c r="Y31" s="110"/>
    </row>
    <row r="32" spans="2:25" s="109" customFormat="1" ht="12">
      <c r="B32" s="99" t="s">
        <v>35</v>
      </c>
      <c r="C32" s="99">
        <v>208.13</v>
      </c>
      <c r="D32" s="99">
        <v>208.13</v>
      </c>
      <c r="E32" s="99">
        <v>208.13</v>
      </c>
      <c r="F32" s="99">
        <v>208.13</v>
      </c>
      <c r="G32" s="99">
        <v>208.13</v>
      </c>
      <c r="H32" s="99">
        <v>208.13</v>
      </c>
      <c r="I32" s="99">
        <v>251.51</v>
      </c>
      <c r="J32" s="99">
        <v>251.51</v>
      </c>
      <c r="K32" s="99">
        <v>251.51</v>
      </c>
      <c r="L32" s="99">
        <v>251.51</v>
      </c>
      <c r="M32" s="99">
        <v>251.51</v>
      </c>
      <c r="N32" s="99">
        <v>251.51</v>
      </c>
      <c r="O32" s="99">
        <f t="shared" si="5"/>
        <v>2757.84</v>
      </c>
      <c r="Y32" s="110"/>
    </row>
    <row r="33" spans="2:25" s="109" customFormat="1" ht="12">
      <c r="B33" s="99" t="s">
        <v>29</v>
      </c>
      <c r="C33" s="99">
        <v>97.68</v>
      </c>
      <c r="D33" s="99">
        <v>282.98</v>
      </c>
      <c r="E33" s="99">
        <v>83.29</v>
      </c>
      <c r="F33" s="99">
        <v>165.21</v>
      </c>
      <c r="G33" s="99"/>
      <c r="H33" s="99"/>
      <c r="I33" s="99">
        <v>100.59</v>
      </c>
      <c r="J33" s="99">
        <v>169.06</v>
      </c>
      <c r="K33" s="99">
        <v>159.41</v>
      </c>
      <c r="L33" s="99">
        <v>178.82</v>
      </c>
      <c r="M33" s="99">
        <v>178.82</v>
      </c>
      <c r="N33" s="99">
        <v>101.91</v>
      </c>
      <c r="O33" s="99">
        <f t="shared" si="5"/>
        <v>1517.7700000000002</v>
      </c>
      <c r="Y33" s="110"/>
    </row>
    <row r="34" spans="2:25" s="109" customFormat="1" ht="12">
      <c r="B34" s="99" t="s">
        <v>39</v>
      </c>
      <c r="C34" s="99">
        <v>1000</v>
      </c>
      <c r="D34" s="99">
        <v>582.15</v>
      </c>
      <c r="E34" s="99">
        <v>500</v>
      </c>
      <c r="F34" s="99">
        <v>1000</v>
      </c>
      <c r="G34" s="99">
        <v>1000</v>
      </c>
      <c r="H34" s="99">
        <v>1000</v>
      </c>
      <c r="I34" s="99">
        <v>1000</v>
      </c>
      <c r="J34" s="99">
        <v>1000</v>
      </c>
      <c r="K34" s="99">
        <v>1000</v>
      </c>
      <c r="L34" s="99">
        <v>1000</v>
      </c>
      <c r="M34" s="99">
        <v>1500</v>
      </c>
      <c r="N34" s="99">
        <v>1500</v>
      </c>
      <c r="O34" s="99">
        <f t="shared" si="5"/>
        <v>12082.15</v>
      </c>
      <c r="Y34" s="110"/>
    </row>
    <row r="35" spans="2:25" s="109" customFormat="1" ht="12">
      <c r="B35" s="99" t="s">
        <v>40</v>
      </c>
      <c r="C35" s="99"/>
      <c r="D35" s="99"/>
      <c r="E35" s="99"/>
      <c r="F35" s="99"/>
      <c r="G35" s="99"/>
      <c r="H35" s="99">
        <v>318.14</v>
      </c>
      <c r="I35" s="99">
        <v>318.14</v>
      </c>
      <c r="J35" s="99">
        <v>318.14</v>
      </c>
      <c r="K35" s="99"/>
      <c r="L35" s="99"/>
      <c r="M35" s="99"/>
      <c r="N35" s="99"/>
      <c r="O35" s="99">
        <f t="shared" si="5"/>
        <v>954.42</v>
      </c>
      <c r="Y35" s="110"/>
    </row>
    <row r="36" spans="2:25" s="109" customFormat="1" ht="12">
      <c r="B36" s="99" t="s">
        <v>41</v>
      </c>
      <c r="C36" s="99"/>
      <c r="D36" s="99"/>
      <c r="E36" s="99"/>
      <c r="F36" s="99"/>
      <c r="G36" s="99">
        <v>5389.5</v>
      </c>
      <c r="H36" s="99">
        <v>30</v>
      </c>
      <c r="I36" s="99"/>
      <c r="J36" s="99"/>
      <c r="K36" s="99"/>
      <c r="L36" s="99"/>
      <c r="M36" s="99"/>
      <c r="N36" s="99"/>
      <c r="O36" s="99">
        <f t="shared" si="5"/>
        <v>5419.5</v>
      </c>
      <c r="Y36" s="110"/>
    </row>
    <row r="37" spans="2:25" s="109" customFormat="1" ht="12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Y37" s="110"/>
    </row>
    <row r="38" spans="2:25" s="109" customFormat="1" ht="12">
      <c r="B38" s="108" t="s">
        <v>42</v>
      </c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Y38" s="110"/>
    </row>
    <row r="39" spans="2:25" s="109" customFormat="1" ht="12">
      <c r="B39" s="99" t="s">
        <v>45</v>
      </c>
      <c r="C39" s="99">
        <v>69.23</v>
      </c>
      <c r="D39" s="99">
        <v>69.23</v>
      </c>
      <c r="E39" s="99">
        <v>69.23</v>
      </c>
      <c r="F39" s="99">
        <v>69.23</v>
      </c>
      <c r="G39" s="99">
        <v>69.23</v>
      </c>
      <c r="H39" s="99">
        <v>69.23</v>
      </c>
      <c r="I39" s="99">
        <v>69.23</v>
      </c>
      <c r="J39" s="99">
        <v>69.23</v>
      </c>
      <c r="K39" s="99">
        <v>69.23</v>
      </c>
      <c r="L39" s="99">
        <v>69.23</v>
      </c>
      <c r="M39" s="99">
        <v>69.23</v>
      </c>
      <c r="N39" s="99">
        <v>69.23</v>
      </c>
      <c r="O39" s="99">
        <f t="shared" si="5"/>
        <v>830.7600000000001</v>
      </c>
      <c r="Y39" s="110"/>
    </row>
    <row r="40" spans="2:25" s="109" customFormat="1" ht="12">
      <c r="B40" s="99" t="s">
        <v>126</v>
      </c>
      <c r="C40" s="99">
        <v>239.25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>
        <f t="shared" si="5"/>
        <v>239.25</v>
      </c>
      <c r="Y40" s="110"/>
    </row>
    <row r="41" spans="2:25" s="109" customFormat="1" ht="12">
      <c r="B41" s="99" t="s">
        <v>46</v>
      </c>
      <c r="C41" s="99"/>
      <c r="D41" s="99">
        <f>243.26+58.82</f>
        <v>302.08</v>
      </c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>
        <f t="shared" si="5"/>
        <v>302.08</v>
      </c>
      <c r="Y41" s="110"/>
    </row>
    <row r="42" spans="2:25" s="109" customFormat="1" ht="12">
      <c r="B42" s="99" t="s">
        <v>52</v>
      </c>
      <c r="C42" s="99"/>
      <c r="D42" s="99">
        <v>250</v>
      </c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>
        <f t="shared" si="5"/>
        <v>250</v>
      </c>
      <c r="Y42" s="110"/>
    </row>
    <row r="43" spans="2:25" s="109" customFormat="1" ht="12">
      <c r="B43" s="99" t="s">
        <v>47</v>
      </c>
      <c r="C43" s="99"/>
      <c r="D43" s="99">
        <v>117.65</v>
      </c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>
        <f t="shared" si="5"/>
        <v>117.65</v>
      </c>
      <c r="Y43" s="110"/>
    </row>
    <row r="44" spans="2:25" s="109" customFormat="1" ht="12">
      <c r="B44" s="99" t="s">
        <v>48</v>
      </c>
      <c r="C44" s="99"/>
      <c r="D44" s="99"/>
      <c r="E44" s="99">
        <v>17.65</v>
      </c>
      <c r="F44" s="99"/>
      <c r="G44" s="99"/>
      <c r="H44" s="99"/>
      <c r="I44" s="99"/>
      <c r="J44" s="99"/>
      <c r="K44" s="99"/>
      <c r="L44" s="99"/>
      <c r="M44" s="99"/>
      <c r="N44" s="99"/>
      <c r="O44" s="99">
        <f t="shared" si="5"/>
        <v>17.65</v>
      </c>
      <c r="Y44" s="110"/>
    </row>
    <row r="45" spans="2:25" s="109" customFormat="1" ht="12">
      <c r="B45" s="99" t="s">
        <v>50</v>
      </c>
      <c r="C45" s="99"/>
      <c r="D45" s="99"/>
      <c r="E45" s="112">
        <v>126.47</v>
      </c>
      <c r="F45" s="99"/>
      <c r="G45" s="99">
        <v>748</v>
      </c>
      <c r="H45" s="99">
        <v>420</v>
      </c>
      <c r="I45" s="99"/>
      <c r="J45" s="99">
        <v>25</v>
      </c>
      <c r="K45" s="99"/>
      <c r="L45" s="99"/>
      <c r="M45" s="99"/>
      <c r="N45" s="99"/>
      <c r="O45" s="99">
        <f t="shared" si="5"/>
        <v>1319.47</v>
      </c>
      <c r="Y45" s="110"/>
    </row>
    <row r="46" spans="2:25" s="109" customFormat="1" ht="12">
      <c r="B46" s="99" t="s">
        <v>49</v>
      </c>
      <c r="C46" s="99"/>
      <c r="D46" s="99"/>
      <c r="E46" s="99"/>
      <c r="F46" s="99">
        <v>775</v>
      </c>
      <c r="G46" s="99"/>
      <c r="H46" s="99"/>
      <c r="I46" s="99"/>
      <c r="J46" s="99"/>
      <c r="K46" s="99"/>
      <c r="L46" s="99"/>
      <c r="M46" s="99"/>
      <c r="N46" s="99"/>
      <c r="O46" s="99">
        <f t="shared" si="5"/>
        <v>775</v>
      </c>
      <c r="Y46" s="110"/>
    </row>
    <row r="47" spans="2:25" s="109" customFormat="1" ht="12">
      <c r="B47" s="99" t="s">
        <v>51</v>
      </c>
      <c r="C47" s="99"/>
      <c r="D47" s="99"/>
      <c r="E47" s="99"/>
      <c r="F47" s="99"/>
      <c r="G47" s="99">
        <v>405.71</v>
      </c>
      <c r="H47" s="99">
        <f>116.92+58.46</f>
        <v>175.38</v>
      </c>
      <c r="I47" s="99">
        <v>48.36</v>
      </c>
      <c r="J47" s="99">
        <v>80.77</v>
      </c>
      <c r="K47" s="99"/>
      <c r="L47" s="99"/>
      <c r="M47" s="99"/>
      <c r="N47" s="99"/>
      <c r="O47" s="99">
        <f t="shared" si="5"/>
        <v>710.2199999999999</v>
      </c>
      <c r="Y47" s="110"/>
    </row>
    <row r="48" spans="2:25" s="109" customFormat="1" ht="12">
      <c r="B48" s="111" t="s">
        <v>123</v>
      </c>
      <c r="C48" s="99"/>
      <c r="D48" s="99"/>
      <c r="E48" s="99"/>
      <c r="F48" s="99"/>
      <c r="G48" s="99"/>
      <c r="H48" s="99">
        <v>182.43</v>
      </c>
      <c r="I48" s="99"/>
      <c r="J48" s="99"/>
      <c r="K48" s="99"/>
      <c r="L48" s="99"/>
      <c r="M48" s="99"/>
      <c r="N48" s="99"/>
      <c r="O48" s="99">
        <f t="shared" si="5"/>
        <v>182.43</v>
      </c>
      <c r="Y48" s="110"/>
    </row>
    <row r="49" spans="2:25" s="109" customFormat="1" ht="12">
      <c r="B49" s="99" t="s">
        <v>130</v>
      </c>
      <c r="C49" s="99"/>
      <c r="D49" s="99"/>
      <c r="E49" s="99"/>
      <c r="F49" s="99"/>
      <c r="G49" s="99"/>
      <c r="H49" s="99"/>
      <c r="I49" s="99">
        <v>161.76</v>
      </c>
      <c r="J49" s="99"/>
      <c r="K49" s="99"/>
      <c r="L49" s="99"/>
      <c r="M49" s="99"/>
      <c r="N49" s="99"/>
      <c r="O49" s="99">
        <f t="shared" si="5"/>
        <v>161.76</v>
      </c>
      <c r="Y49" s="110"/>
    </row>
    <row r="50" spans="2:25" s="109" customFormat="1" ht="12">
      <c r="B50" s="99" t="s">
        <v>134</v>
      </c>
      <c r="C50" s="99"/>
      <c r="D50" s="99"/>
      <c r="E50" s="99"/>
      <c r="F50" s="99"/>
      <c r="G50" s="99"/>
      <c r="H50" s="99"/>
      <c r="I50" s="99">
        <v>93.51</v>
      </c>
      <c r="J50" s="99"/>
      <c r="K50" s="99"/>
      <c r="L50" s="99">
        <v>15.17</v>
      </c>
      <c r="M50" s="99"/>
      <c r="N50" s="99"/>
      <c r="O50" s="99">
        <f t="shared" si="5"/>
        <v>108.68</v>
      </c>
      <c r="Y50" s="110"/>
    </row>
    <row r="51" spans="2:25" s="109" customFormat="1" ht="12">
      <c r="B51" s="111" t="s">
        <v>139</v>
      </c>
      <c r="C51" s="99"/>
      <c r="D51" s="99"/>
      <c r="E51" s="99"/>
      <c r="F51" s="99"/>
      <c r="G51" s="99"/>
      <c r="H51" s="99"/>
      <c r="I51" s="99"/>
      <c r="J51" s="99">
        <v>12.26</v>
      </c>
      <c r="K51" s="99"/>
      <c r="L51" s="99">
        <v>91.22</v>
      </c>
      <c r="M51" s="99"/>
      <c r="N51" s="99"/>
      <c r="O51" s="99">
        <f t="shared" si="5"/>
        <v>103.48</v>
      </c>
      <c r="Y51" s="110"/>
    </row>
    <row r="52" spans="2:25" s="109" customFormat="1" ht="12">
      <c r="B52" s="99" t="s">
        <v>155</v>
      </c>
      <c r="C52" s="99"/>
      <c r="D52" s="99"/>
      <c r="E52" s="99"/>
      <c r="F52" s="99"/>
      <c r="G52" s="99"/>
      <c r="H52" s="99"/>
      <c r="I52" s="99"/>
      <c r="J52" s="99">
        <v>81.75</v>
      </c>
      <c r="K52" s="99"/>
      <c r="L52" s="99"/>
      <c r="M52" s="99">
        <v>91.22</v>
      </c>
      <c r="N52" s="99">
        <v>121.63</v>
      </c>
      <c r="O52" s="99">
        <f t="shared" si="5"/>
        <v>294.6</v>
      </c>
      <c r="Y52" s="110"/>
    </row>
    <row r="53" spans="2:25" s="109" customFormat="1" ht="12">
      <c r="B53" s="99" t="s">
        <v>156</v>
      </c>
      <c r="C53" s="99"/>
      <c r="D53" s="99"/>
      <c r="E53" s="99"/>
      <c r="F53" s="99"/>
      <c r="G53" s="99"/>
      <c r="H53" s="99"/>
      <c r="I53" s="99"/>
      <c r="J53" s="99">
        <v>10.63</v>
      </c>
      <c r="K53" s="99"/>
      <c r="L53" s="99"/>
      <c r="M53" s="99"/>
      <c r="N53" s="99"/>
      <c r="O53" s="99">
        <f t="shared" si="5"/>
        <v>10.63</v>
      </c>
      <c r="Y53" s="110"/>
    </row>
    <row r="54" spans="2:25" s="109" customFormat="1" ht="12">
      <c r="B54" s="99" t="s">
        <v>157</v>
      </c>
      <c r="C54" s="99"/>
      <c r="D54" s="99"/>
      <c r="E54" s="99"/>
      <c r="F54" s="99"/>
      <c r="G54" s="99"/>
      <c r="H54" s="99"/>
      <c r="I54" s="99"/>
      <c r="J54" s="99"/>
      <c r="K54" s="99">
        <v>160.75</v>
      </c>
      <c r="L54" s="99"/>
      <c r="M54" s="99"/>
      <c r="N54" s="99"/>
      <c r="O54" s="99">
        <f t="shared" si="5"/>
        <v>160.75</v>
      </c>
      <c r="Y54" s="110"/>
    </row>
    <row r="55" spans="2:25" s="109" customFormat="1" ht="12">
      <c r="B55" s="99" t="s">
        <v>158</v>
      </c>
      <c r="C55" s="99"/>
      <c r="D55" s="99"/>
      <c r="E55" s="99"/>
      <c r="F55" s="99"/>
      <c r="G55" s="99"/>
      <c r="H55" s="99"/>
      <c r="I55" s="99"/>
      <c r="J55" s="99"/>
      <c r="K55" s="99">
        <v>5371.66</v>
      </c>
      <c r="L55" s="99"/>
      <c r="M55" s="99"/>
      <c r="N55" s="99"/>
      <c r="O55" s="99">
        <f t="shared" si="5"/>
        <v>5371.66</v>
      </c>
      <c r="Y55" s="110"/>
    </row>
    <row r="56" spans="2:25" s="109" customFormat="1" ht="12">
      <c r="B56" s="99" t="s">
        <v>159</v>
      </c>
      <c r="C56" s="99"/>
      <c r="D56" s="99"/>
      <c r="E56" s="99"/>
      <c r="F56" s="99"/>
      <c r="G56" s="99"/>
      <c r="H56" s="99"/>
      <c r="I56" s="99"/>
      <c r="J56" s="99"/>
      <c r="K56" s="99">
        <v>17.5</v>
      </c>
      <c r="L56" s="99"/>
      <c r="M56" s="99"/>
      <c r="N56" s="99"/>
      <c r="O56" s="99">
        <f t="shared" si="5"/>
        <v>17.5</v>
      </c>
      <c r="Y56" s="110"/>
    </row>
    <row r="57" spans="2:25" s="109" customFormat="1" ht="12">
      <c r="B57" s="99" t="s">
        <v>223</v>
      </c>
      <c r="C57" s="99"/>
      <c r="D57" s="99"/>
      <c r="E57" s="99"/>
      <c r="F57" s="99"/>
      <c r="G57" s="99"/>
      <c r="H57" s="99"/>
      <c r="I57" s="99"/>
      <c r="J57" s="99">
        <v>250</v>
      </c>
      <c r="K57" s="99"/>
      <c r="L57" s="99"/>
      <c r="M57" s="99"/>
      <c r="N57" s="99"/>
      <c r="O57" s="99">
        <f t="shared" si="5"/>
        <v>250</v>
      </c>
      <c r="Y57" s="110"/>
    </row>
    <row r="58" spans="2:25" s="109" customFormat="1" ht="12">
      <c r="B58" s="99" t="s">
        <v>189</v>
      </c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>
        <v>112.51</v>
      </c>
      <c r="N58" s="99"/>
      <c r="O58" s="99">
        <f t="shared" si="5"/>
        <v>112.51</v>
      </c>
      <c r="Y58" s="110"/>
    </row>
    <row r="59" spans="2:25" s="109" customFormat="1" ht="12">
      <c r="B59" s="99" t="s">
        <v>167</v>
      </c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>
        <v>10.31</v>
      </c>
      <c r="N59" s="99"/>
      <c r="O59" s="99">
        <f t="shared" si="5"/>
        <v>10.31</v>
      </c>
      <c r="Y59" s="110"/>
    </row>
    <row r="60" spans="2:25" s="109" customFormat="1" ht="12">
      <c r="B60" s="99" t="s">
        <v>165</v>
      </c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>
        <v>27.25</v>
      </c>
      <c r="O60" s="99">
        <f t="shared" si="5"/>
        <v>27.25</v>
      </c>
      <c r="Y60" s="110"/>
    </row>
    <row r="61" spans="2:25" s="109" customFormat="1" ht="12">
      <c r="B61" s="108" t="s">
        <v>16</v>
      </c>
      <c r="C61" s="108">
        <f aca="true" t="shared" si="6" ref="C61:O61">SUM(C25:C60)</f>
        <v>14191.98</v>
      </c>
      <c r="D61" s="108">
        <f t="shared" si="6"/>
        <v>12984.879999999997</v>
      </c>
      <c r="E61" s="108">
        <f t="shared" si="6"/>
        <v>11973.479999999998</v>
      </c>
      <c r="F61" s="108">
        <f t="shared" si="6"/>
        <v>12491.219999999998</v>
      </c>
      <c r="G61" s="108">
        <f t="shared" si="6"/>
        <v>18993.05</v>
      </c>
      <c r="H61" s="108">
        <f t="shared" si="6"/>
        <v>11866.13</v>
      </c>
      <c r="I61" s="108">
        <f t="shared" si="6"/>
        <v>20672.659999999993</v>
      </c>
      <c r="J61" s="108">
        <f t="shared" si="6"/>
        <v>11805.22</v>
      </c>
      <c r="K61" s="108">
        <f t="shared" si="6"/>
        <v>17897.69</v>
      </c>
      <c r="L61" s="108">
        <f t="shared" si="6"/>
        <v>11851.98</v>
      </c>
      <c r="M61" s="108">
        <f t="shared" si="6"/>
        <v>11137.64</v>
      </c>
      <c r="N61" s="108">
        <f t="shared" si="6"/>
        <v>13356.14</v>
      </c>
      <c r="O61" s="108">
        <f t="shared" si="6"/>
        <v>169767.05</v>
      </c>
      <c r="Y61" s="110"/>
    </row>
    <row r="63" spans="2:15" ht="12">
      <c r="B63" s="113" t="s">
        <v>149</v>
      </c>
      <c r="C63" s="114">
        <f aca="true" t="shared" si="7" ref="C63:O63">C7+C17-C61</f>
        <v>-27462</v>
      </c>
      <c r="D63" s="114">
        <f t="shared" si="7"/>
        <v>-29416.35</v>
      </c>
      <c r="E63" s="114">
        <f t="shared" si="7"/>
        <v>-28077.549999999996</v>
      </c>
      <c r="F63" s="114">
        <f t="shared" si="7"/>
        <v>-32038.729999999992</v>
      </c>
      <c r="G63" s="114">
        <f t="shared" si="7"/>
        <v>-42268.09999999999</v>
      </c>
      <c r="H63" s="114">
        <f t="shared" si="7"/>
        <v>-39728.30999999999</v>
      </c>
      <c r="I63" s="114">
        <f t="shared" si="7"/>
        <v>-47431.05999999998</v>
      </c>
      <c r="J63" s="114">
        <f t="shared" si="7"/>
        <v>-47786.47999999998</v>
      </c>
      <c r="K63" s="114">
        <f t="shared" si="7"/>
        <v>-50245.22999999998</v>
      </c>
      <c r="L63" s="114">
        <f t="shared" si="7"/>
        <v>-50900.17999999998</v>
      </c>
      <c r="M63" s="114">
        <f t="shared" si="7"/>
        <v>-37192.769999999975</v>
      </c>
      <c r="N63" s="114">
        <f t="shared" si="7"/>
        <v>-34857.299999999974</v>
      </c>
      <c r="O63" s="115">
        <f t="shared" si="7"/>
        <v>-35402.27999999997</v>
      </c>
    </row>
    <row r="64" spans="2:15" ht="12" hidden="1"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9"/>
    </row>
    <row r="65" spans="2:15" ht="12" hidden="1">
      <c r="B65" s="116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9"/>
    </row>
    <row r="66" spans="2:15" s="87" customFormat="1" ht="12" hidden="1"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</row>
    <row r="67" spans="2:15" s="87" customFormat="1" ht="12" hidden="1">
      <c r="B67" s="117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</row>
    <row r="68" spans="2:15" s="87" customFormat="1" ht="12"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89"/>
    </row>
    <row r="69" ht="12">
      <c r="B69" s="86" t="s">
        <v>24</v>
      </c>
    </row>
    <row r="70" ht="12">
      <c r="B70" s="86" t="s">
        <v>25</v>
      </c>
    </row>
  </sheetData>
  <sheetProtection selectLockedCells="1" selectUnlockedCells="1"/>
  <mergeCells count="3">
    <mergeCell ref="B2:O2"/>
    <mergeCell ref="B1:O1"/>
    <mergeCell ref="B3:O3"/>
  </mergeCells>
  <printOptions/>
  <pageMargins left="1.57" right="0.15748031496062992" top="0.1968503937007874" bottom="0.31496062992125984" header="0.15748031496062992" footer="0.196850393700787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Y84"/>
  <sheetViews>
    <sheetView zoomScalePageLayoutView="0" workbookViewId="0" topLeftCell="A1">
      <pane xSplit="2" ySplit="4" topLeftCell="C5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63" sqref="Q63"/>
    </sheetView>
  </sheetViews>
  <sheetFormatPr defaultColWidth="26.75390625" defaultRowHeight="12.75"/>
  <cols>
    <col min="1" max="1" width="12.875" style="86" customWidth="1"/>
    <col min="2" max="2" width="45.75390625" style="86" customWidth="1"/>
    <col min="3" max="3" width="9.125" style="86" hidden="1" customWidth="1"/>
    <col min="4" max="5" width="9.375" style="86" hidden="1" customWidth="1"/>
    <col min="6" max="6" width="10.25390625" style="86" hidden="1" customWidth="1"/>
    <col min="7" max="7" width="9.125" style="86" hidden="1" customWidth="1"/>
    <col min="8" max="8" width="9.00390625" style="86" hidden="1" customWidth="1"/>
    <col min="9" max="9" width="9.875" style="86" hidden="1" customWidth="1"/>
    <col min="10" max="10" width="9.25390625" style="86" hidden="1" customWidth="1"/>
    <col min="11" max="11" width="11.25390625" style="86" hidden="1" customWidth="1"/>
    <col min="12" max="12" width="9.75390625" style="86" hidden="1" customWidth="1"/>
    <col min="13" max="13" width="8.75390625" style="86" hidden="1" customWidth="1"/>
    <col min="14" max="14" width="9.25390625" style="86" hidden="1" customWidth="1"/>
    <col min="15" max="15" width="10.00390625" style="87" customWidth="1"/>
    <col min="16" max="16" width="7.625" style="86" customWidth="1"/>
    <col min="17" max="24" width="26.75390625" style="86" customWidth="1"/>
    <col min="25" max="25" width="26.75390625" style="87" customWidth="1"/>
    <col min="26" max="16384" width="26.75390625" style="86" customWidth="1"/>
  </cols>
  <sheetData>
    <row r="1" spans="2:15" ht="12">
      <c r="B1" s="194" t="s">
        <v>151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</row>
    <row r="2" spans="2:16" ht="12">
      <c r="B2" s="194" t="s">
        <v>152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85"/>
    </row>
    <row r="3" spans="2:16" ht="12">
      <c r="B3" s="195" t="s">
        <v>108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85"/>
    </row>
    <row r="4" spans="2:15" ht="24">
      <c r="B4" s="90" t="s">
        <v>109</v>
      </c>
      <c r="C4" s="91" t="s">
        <v>0</v>
      </c>
      <c r="D4" s="91" t="s">
        <v>1</v>
      </c>
      <c r="E4" s="91" t="s">
        <v>2</v>
      </c>
      <c r="F4" s="91" t="s">
        <v>3</v>
      </c>
      <c r="G4" s="91" t="s">
        <v>4</v>
      </c>
      <c r="H4" s="91" t="s">
        <v>5</v>
      </c>
      <c r="I4" s="91" t="s">
        <v>6</v>
      </c>
      <c r="J4" s="91" t="s">
        <v>7</v>
      </c>
      <c r="K4" s="91" t="s">
        <v>8</v>
      </c>
      <c r="L4" s="91" t="s">
        <v>9</v>
      </c>
      <c r="M4" s="91" t="s">
        <v>10</v>
      </c>
      <c r="N4" s="91" t="s">
        <v>11</v>
      </c>
      <c r="O4" s="92" t="s">
        <v>150</v>
      </c>
    </row>
    <row r="5" spans="2:15" ht="12">
      <c r="B5" s="94" t="s">
        <v>43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4"/>
    </row>
    <row r="6" spans="2:15" ht="12">
      <c r="B6" s="93" t="s">
        <v>13</v>
      </c>
      <c r="C6" s="93">
        <v>-209340.75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>
        <f>C6+D6+E6+F6+G6+H6+I6+J6+K6+L6+M6+N6</f>
        <v>-209340.75</v>
      </c>
    </row>
    <row r="7" spans="2:15" s="87" customFormat="1" ht="12">
      <c r="B7" s="94" t="s">
        <v>16</v>
      </c>
      <c r="C7" s="94">
        <f>C6</f>
        <v>-209340.75</v>
      </c>
      <c r="D7" s="94">
        <f aca="true" t="shared" si="0" ref="D7:I7">C77</f>
        <v>-209308.74</v>
      </c>
      <c r="E7" s="94">
        <f t="shared" si="0"/>
        <v>-215796.91999999998</v>
      </c>
      <c r="F7" s="94">
        <f t="shared" si="0"/>
        <v>-220711.77999999997</v>
      </c>
      <c r="G7" s="94">
        <f t="shared" si="0"/>
        <v>-224872.44999999998</v>
      </c>
      <c r="H7" s="94">
        <f t="shared" si="0"/>
        <v>-181172.41999999998</v>
      </c>
      <c r="I7" s="94">
        <f t="shared" si="0"/>
        <v>-175938.15999999997</v>
      </c>
      <c r="J7" s="94">
        <f>I77</f>
        <v>-173019.87</v>
      </c>
      <c r="K7" s="94">
        <f>J77</f>
        <v>-172046.37</v>
      </c>
      <c r="L7" s="94">
        <f>K77</f>
        <v>-176325.94999999998</v>
      </c>
      <c r="M7" s="94">
        <f>L77</f>
        <v>-183583.84999999998</v>
      </c>
      <c r="N7" s="94">
        <f>M77</f>
        <v>-181952.4</v>
      </c>
      <c r="O7" s="94">
        <f>O6</f>
        <v>-209340.75</v>
      </c>
    </row>
    <row r="8" spans="2:15" ht="12"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4"/>
    </row>
    <row r="9" spans="2:25" s="97" customFormat="1" ht="12">
      <c r="B9" s="95" t="s">
        <v>17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5"/>
      <c r="Y9" s="98"/>
    </row>
    <row r="10" spans="2:25" s="97" customFormat="1" ht="12">
      <c r="B10" s="96" t="s">
        <v>13</v>
      </c>
      <c r="C10" s="96">
        <v>15011.04</v>
      </c>
      <c r="D10" s="96">
        <v>15011.04</v>
      </c>
      <c r="E10" s="96">
        <v>15011.04</v>
      </c>
      <c r="F10" s="96">
        <v>15011.04</v>
      </c>
      <c r="G10" s="96">
        <v>15011.04</v>
      </c>
      <c r="H10" s="96">
        <v>15011.04</v>
      </c>
      <c r="I10" s="96">
        <v>14235.49</v>
      </c>
      <c r="J10" s="96">
        <v>14235.49</v>
      </c>
      <c r="K10" s="96">
        <v>14235.49</v>
      </c>
      <c r="L10" s="96">
        <v>14235.49</v>
      </c>
      <c r="M10" s="96">
        <v>14235.49</v>
      </c>
      <c r="N10" s="96">
        <v>14235.49</v>
      </c>
      <c r="O10" s="96">
        <f>C10+D10+E10+F10+G10+H10+I10+J10+K10+L10+M10+N10</f>
        <v>175479.18</v>
      </c>
      <c r="Y10" s="98"/>
    </row>
    <row r="11" spans="2:25" s="97" customFormat="1" ht="12">
      <c r="B11" s="96" t="s">
        <v>205</v>
      </c>
      <c r="C11" s="96"/>
      <c r="D11" s="96"/>
      <c r="E11" s="96"/>
      <c r="F11" s="96"/>
      <c r="G11" s="96"/>
      <c r="H11" s="96"/>
      <c r="I11" s="96"/>
      <c r="J11" s="96"/>
      <c r="K11" s="96"/>
      <c r="L11" s="96">
        <v>7002.67</v>
      </c>
      <c r="M11" s="96"/>
      <c r="N11" s="96"/>
      <c r="O11" s="96">
        <f>C11+D11+E11+F11+G11+H11+I11+J11+K11+L11+M11+N11</f>
        <v>7002.67</v>
      </c>
      <c r="Y11" s="98"/>
    </row>
    <row r="12" spans="2:25" s="97" customFormat="1" ht="12">
      <c r="B12" s="96" t="s">
        <v>38</v>
      </c>
      <c r="C12" s="96">
        <v>2624.46</v>
      </c>
      <c r="D12" s="96">
        <v>2624.46</v>
      </c>
      <c r="E12" s="96">
        <v>2624.46</v>
      </c>
      <c r="F12" s="96">
        <v>2624.46</v>
      </c>
      <c r="G12" s="96">
        <v>2624.46</v>
      </c>
      <c r="H12" s="96">
        <v>2624.46</v>
      </c>
      <c r="I12" s="96"/>
      <c r="J12" s="96"/>
      <c r="K12" s="96"/>
      <c r="L12" s="96"/>
      <c r="M12" s="96"/>
      <c r="N12" s="96"/>
      <c r="O12" s="96">
        <f>C12+D12+E12+F12+G12+H12+I12+J12+K12+L12+M12+N12</f>
        <v>15746.759999999998</v>
      </c>
      <c r="Y12" s="98"/>
    </row>
    <row r="13" spans="2:15" s="98" customFormat="1" ht="12">
      <c r="B13" s="95" t="s">
        <v>16</v>
      </c>
      <c r="C13" s="95">
        <f aca="true" t="shared" si="1" ref="C13:N13">SUM(C8:C12)</f>
        <v>17635.5</v>
      </c>
      <c r="D13" s="95">
        <f t="shared" si="1"/>
        <v>17635.5</v>
      </c>
      <c r="E13" s="95">
        <f t="shared" si="1"/>
        <v>17635.5</v>
      </c>
      <c r="F13" s="95">
        <f t="shared" si="1"/>
        <v>17635.5</v>
      </c>
      <c r="G13" s="95">
        <f t="shared" si="1"/>
        <v>17635.5</v>
      </c>
      <c r="H13" s="95">
        <f t="shared" si="1"/>
        <v>17635.5</v>
      </c>
      <c r="I13" s="95">
        <f t="shared" si="1"/>
        <v>14235.49</v>
      </c>
      <c r="J13" s="95">
        <f t="shared" si="1"/>
        <v>14235.49</v>
      </c>
      <c r="K13" s="95">
        <f t="shared" si="1"/>
        <v>14235.49</v>
      </c>
      <c r="L13" s="95">
        <f t="shared" si="1"/>
        <v>21238.16</v>
      </c>
      <c r="M13" s="95">
        <f t="shared" si="1"/>
        <v>14235.49</v>
      </c>
      <c r="N13" s="95">
        <f t="shared" si="1"/>
        <v>14235.49</v>
      </c>
      <c r="O13" s="95">
        <f>C13+D13+E13+F13+G13+H13+I13+J13+K13+L13+M13+N13</f>
        <v>198228.61</v>
      </c>
    </row>
    <row r="14" spans="2:15" ht="12"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4"/>
    </row>
    <row r="15" spans="2:25" s="102" customFormat="1" ht="12">
      <c r="B15" s="100" t="s">
        <v>18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0"/>
      <c r="Y15" s="103"/>
    </row>
    <row r="16" spans="2:25" s="102" customFormat="1" ht="12">
      <c r="B16" s="101" t="s">
        <v>13</v>
      </c>
      <c r="C16" s="101">
        <f>12527.41+1000</f>
        <v>13527.41</v>
      </c>
      <c r="D16" s="101">
        <v>8566.48</v>
      </c>
      <c r="E16" s="101">
        <f>5589.31+500</f>
        <v>6089.31</v>
      </c>
      <c r="F16" s="101">
        <f>8161.82+1000+7273.2</f>
        <v>16435.02</v>
      </c>
      <c r="G16" s="101">
        <f>9445.14+53912.05+1000</f>
        <v>64357.19</v>
      </c>
      <c r="H16" s="101">
        <f>14555.21+1000+182.43+2719.82</f>
        <v>18457.46</v>
      </c>
      <c r="I16" s="101">
        <f>11323.3+3400+1000+10506.96</f>
        <v>26230.26</v>
      </c>
      <c r="J16" s="101">
        <f>9421.86+3400+1000+250</f>
        <v>14071.86</v>
      </c>
      <c r="K16" s="101">
        <f>12535.33+1000+3400</f>
        <v>16935.33</v>
      </c>
      <c r="L16" s="101">
        <f>8333.31+3400+1500</f>
        <v>13233.31</v>
      </c>
      <c r="M16" s="101">
        <f>11158.32+3400</f>
        <v>14558.32</v>
      </c>
      <c r="N16" s="101">
        <v>9034.16</v>
      </c>
      <c r="O16" s="101">
        <f>C16+D16+E16+F16+G16+H16+I16+J16+K16+L16+M16+N16</f>
        <v>221496.11000000002</v>
      </c>
      <c r="Y16" s="103"/>
    </row>
    <row r="17" spans="2:25" s="102" customFormat="1" ht="12">
      <c r="B17" s="101" t="s">
        <v>14</v>
      </c>
      <c r="C17" s="101"/>
      <c r="D17" s="101">
        <v>175.1</v>
      </c>
      <c r="E17" s="101">
        <v>1149.22</v>
      </c>
      <c r="F17" s="101"/>
      <c r="G17" s="101"/>
      <c r="H17" s="101"/>
      <c r="I17" s="101"/>
      <c r="J17" s="101"/>
      <c r="K17" s="101"/>
      <c r="L17" s="101"/>
      <c r="M17" s="101"/>
      <c r="N17" s="101"/>
      <c r="O17" s="101">
        <f>C17+D17+E17+F17+G17+H17+I17+J17+K17+L17+M17+N17</f>
        <v>1324.32</v>
      </c>
      <c r="Y17" s="103"/>
    </row>
    <row r="18" spans="2:25" s="102" customFormat="1" ht="12">
      <c r="B18" s="96" t="s">
        <v>38</v>
      </c>
      <c r="C18" s="101">
        <v>2412.48</v>
      </c>
      <c r="D18" s="101">
        <v>1991.04</v>
      </c>
      <c r="E18" s="101">
        <v>3655.19</v>
      </c>
      <c r="F18" s="101">
        <v>3032</v>
      </c>
      <c r="G18" s="101">
        <v>2012.35</v>
      </c>
      <c r="H18" s="101">
        <v>2751.17</v>
      </c>
      <c r="I18" s="101">
        <v>2473.79</v>
      </c>
      <c r="J18" s="101">
        <v>1950.15</v>
      </c>
      <c r="K18" s="101"/>
      <c r="L18" s="101"/>
      <c r="M18" s="101"/>
      <c r="N18" s="101"/>
      <c r="O18" s="101">
        <f>C18+D18+E18+F18+G18+H18+I18+J18+K18+L18+M18+N18</f>
        <v>20278.170000000002</v>
      </c>
      <c r="Y18" s="103"/>
    </row>
    <row r="19" spans="2:25" s="102" customFormat="1" ht="12">
      <c r="B19" s="96" t="s">
        <v>205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>
        <v>2915.23</v>
      </c>
      <c r="N19" s="101">
        <v>2759.69</v>
      </c>
      <c r="O19" s="101">
        <f>C19+D19+E19+F19+G19+H19+I19+J19+K19+L19+M19+N19</f>
        <v>5674.92</v>
      </c>
      <c r="Y19" s="103"/>
    </row>
    <row r="20" spans="2:15" s="103" customFormat="1" ht="12">
      <c r="B20" s="100" t="s">
        <v>16</v>
      </c>
      <c r="C20" s="100">
        <f aca="true" t="shared" si="2" ref="C20:O20">SUM(C16:C19)</f>
        <v>15939.89</v>
      </c>
      <c r="D20" s="100">
        <f t="shared" si="2"/>
        <v>10732.619999999999</v>
      </c>
      <c r="E20" s="100">
        <f t="shared" si="2"/>
        <v>10893.720000000001</v>
      </c>
      <c r="F20" s="100">
        <f t="shared" si="2"/>
        <v>19467.02</v>
      </c>
      <c r="G20" s="100">
        <f t="shared" si="2"/>
        <v>66369.54000000001</v>
      </c>
      <c r="H20" s="100">
        <f t="shared" si="2"/>
        <v>21208.629999999997</v>
      </c>
      <c r="I20" s="100">
        <f t="shared" si="2"/>
        <v>28704.05</v>
      </c>
      <c r="J20" s="100">
        <f t="shared" si="2"/>
        <v>16022.01</v>
      </c>
      <c r="K20" s="100">
        <f t="shared" si="2"/>
        <v>16935.33</v>
      </c>
      <c r="L20" s="100">
        <f t="shared" si="2"/>
        <v>13233.31</v>
      </c>
      <c r="M20" s="100">
        <f t="shared" si="2"/>
        <v>17473.55</v>
      </c>
      <c r="N20" s="100">
        <f t="shared" si="2"/>
        <v>11793.85</v>
      </c>
      <c r="O20" s="100">
        <f t="shared" si="2"/>
        <v>248773.52000000005</v>
      </c>
    </row>
    <row r="21" spans="2:15" ht="12"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4"/>
    </row>
    <row r="22" spans="2:15" ht="12">
      <c r="B22" s="94" t="s">
        <v>19</v>
      </c>
      <c r="C22" s="104">
        <f aca="true" t="shared" si="3" ref="C22:O22">C20/C13</f>
        <v>0.9038524566924668</v>
      </c>
      <c r="D22" s="104">
        <f t="shared" si="3"/>
        <v>0.6085804201752147</v>
      </c>
      <c r="E22" s="104">
        <f t="shared" si="3"/>
        <v>0.6177154035893511</v>
      </c>
      <c r="F22" s="104">
        <f t="shared" si="3"/>
        <v>1.1038541578066967</v>
      </c>
      <c r="G22" s="104">
        <f t="shared" si="3"/>
        <v>3.763405630688101</v>
      </c>
      <c r="H22" s="104">
        <f t="shared" si="3"/>
        <v>1.2026100762666212</v>
      </c>
      <c r="I22" s="104">
        <f t="shared" si="3"/>
        <v>2.0163724606599422</v>
      </c>
      <c r="J22" s="104">
        <f t="shared" si="3"/>
        <v>1.1254976119543478</v>
      </c>
      <c r="K22" s="104">
        <f t="shared" si="3"/>
        <v>1.1896555720948139</v>
      </c>
      <c r="L22" s="104">
        <f t="shared" si="3"/>
        <v>0.6230911717399247</v>
      </c>
      <c r="M22" s="104">
        <f t="shared" si="3"/>
        <v>1.2274638948150012</v>
      </c>
      <c r="N22" s="104">
        <f t="shared" si="3"/>
        <v>0.8284821948524428</v>
      </c>
      <c r="O22" s="105">
        <f t="shared" si="3"/>
        <v>1.2549829209819918</v>
      </c>
    </row>
    <row r="23" spans="2:15" ht="12">
      <c r="B23" s="9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6"/>
    </row>
    <row r="24" spans="2:15" ht="12">
      <c r="B24" s="94" t="s">
        <v>20</v>
      </c>
      <c r="C24" s="107">
        <f aca="true" t="shared" si="4" ref="C24:O24">C13-C20</f>
        <v>1695.6100000000006</v>
      </c>
      <c r="D24" s="107">
        <f t="shared" si="4"/>
        <v>6902.880000000001</v>
      </c>
      <c r="E24" s="107">
        <f t="shared" si="4"/>
        <v>6741.779999999999</v>
      </c>
      <c r="F24" s="107">
        <f t="shared" si="4"/>
        <v>-1831.5200000000004</v>
      </c>
      <c r="G24" s="107">
        <f t="shared" si="4"/>
        <v>-48734.04000000001</v>
      </c>
      <c r="H24" s="107">
        <f t="shared" si="4"/>
        <v>-3573.1299999999974</v>
      </c>
      <c r="I24" s="107">
        <f t="shared" si="4"/>
        <v>-14468.56</v>
      </c>
      <c r="J24" s="107">
        <f t="shared" si="4"/>
        <v>-1786.5200000000004</v>
      </c>
      <c r="K24" s="107">
        <f t="shared" si="4"/>
        <v>-2699.840000000002</v>
      </c>
      <c r="L24" s="107">
        <f t="shared" si="4"/>
        <v>8004.85</v>
      </c>
      <c r="M24" s="107">
        <f t="shared" si="4"/>
        <v>-3238.0599999999995</v>
      </c>
      <c r="N24" s="107">
        <f t="shared" si="4"/>
        <v>2441.6399999999994</v>
      </c>
      <c r="O24" s="107">
        <f t="shared" si="4"/>
        <v>-50544.91000000006</v>
      </c>
    </row>
    <row r="25" spans="2:15" ht="12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4"/>
    </row>
    <row r="26" spans="2:25" s="109" customFormat="1" ht="12">
      <c r="B26" s="108" t="s">
        <v>21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108"/>
      <c r="Y26" s="110"/>
    </row>
    <row r="27" spans="2:25" s="109" customFormat="1" ht="12"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108"/>
      <c r="Y27" s="110"/>
    </row>
    <row r="28" spans="2:25" s="109" customFormat="1" ht="12">
      <c r="B28" s="99" t="s">
        <v>22</v>
      </c>
      <c r="C28" s="99">
        <v>235.86</v>
      </c>
      <c r="D28" s="99">
        <v>186.05</v>
      </c>
      <c r="E28" s="99">
        <f>463.54+89</f>
        <v>552.54</v>
      </c>
      <c r="F28" s="99">
        <f>255.1+52.42</f>
        <v>307.52</v>
      </c>
      <c r="G28" s="99">
        <v>1688.1</v>
      </c>
      <c r="H28" s="99">
        <f>190.11+53.65</f>
        <v>243.76000000000002</v>
      </c>
      <c r="I28" s="99">
        <v>269.36</v>
      </c>
      <c r="J28" s="99">
        <v>274.94</v>
      </c>
      <c r="K28" s="99">
        <f>246.09</f>
        <v>246.09</v>
      </c>
      <c r="L28" s="99">
        <v>343.14</v>
      </c>
      <c r="M28" s="99">
        <v>111.11</v>
      </c>
      <c r="N28" s="99">
        <v>291.76</v>
      </c>
      <c r="O28" s="99">
        <f>C28+D28+E28+F28+G28+H28+I28+J28+K28+L28+M28+N28</f>
        <v>4750.2300000000005</v>
      </c>
      <c r="Y28" s="110"/>
    </row>
    <row r="29" spans="2:25" s="109" customFormat="1" ht="12">
      <c r="B29" s="99" t="s">
        <v>185</v>
      </c>
      <c r="C29" s="99">
        <v>5283.88</v>
      </c>
      <c r="D29" s="99">
        <v>5283.88</v>
      </c>
      <c r="E29" s="99">
        <v>5283.88</v>
      </c>
      <c r="F29" s="99">
        <v>5283.88</v>
      </c>
      <c r="G29" s="99">
        <v>5283.88</v>
      </c>
      <c r="H29" s="99">
        <v>5283.88</v>
      </c>
      <c r="I29" s="99">
        <v>5283.88</v>
      </c>
      <c r="J29" s="99">
        <v>4847.57</v>
      </c>
      <c r="K29" s="99">
        <v>4937.65</v>
      </c>
      <c r="L29" s="99">
        <v>4937.65</v>
      </c>
      <c r="M29" s="99">
        <v>4937.65</v>
      </c>
      <c r="N29" s="99">
        <v>4937.65</v>
      </c>
      <c r="O29" s="99">
        <f aca="true" t="shared" si="5" ref="O29:O74">C29+D29+E29+F29+G29+H29+I29+J29+K29+L29+M29+N29</f>
        <v>61585.33000000001</v>
      </c>
      <c r="Y29" s="110"/>
    </row>
    <row r="30" spans="2:25" s="109" customFormat="1" ht="12">
      <c r="B30" s="99" t="s">
        <v>31</v>
      </c>
      <c r="C30" s="99">
        <f>707.4+581.7</f>
        <v>1289.1</v>
      </c>
      <c r="D30" s="99">
        <f>707.4+1128.07</f>
        <v>1835.4699999999998</v>
      </c>
      <c r="E30" s="99">
        <f>707.4+653.02</f>
        <v>1360.42</v>
      </c>
      <c r="F30" s="99">
        <f>405.65</f>
        <v>405.65</v>
      </c>
      <c r="G30" s="99">
        <v>405.65</v>
      </c>
      <c r="H30" s="99">
        <f>405.65</f>
        <v>405.65</v>
      </c>
      <c r="I30" s="99">
        <v>1372.85</v>
      </c>
      <c r="J30" s="99">
        <v>1049.94</v>
      </c>
      <c r="K30" s="99">
        <v>1049.94</v>
      </c>
      <c r="L30" s="99">
        <v>1049.94</v>
      </c>
      <c r="M30" s="99">
        <v>1049.94</v>
      </c>
      <c r="N30" s="99">
        <v>1049.94</v>
      </c>
      <c r="O30" s="99">
        <f>C30+D30+E30+F30+G30+H30+I30+J30+K30+L30+M30+N30+536.49</f>
        <v>12860.980000000001</v>
      </c>
      <c r="Y30" s="110"/>
    </row>
    <row r="31" spans="2:25" s="109" customFormat="1" ht="12">
      <c r="B31" s="99" t="s">
        <v>32</v>
      </c>
      <c r="C31" s="99">
        <f>1318.61</f>
        <v>1318.61</v>
      </c>
      <c r="D31" s="99">
        <v>2629.31</v>
      </c>
      <c r="E31" s="99">
        <f>1301+1328.31</f>
        <v>2629.31</v>
      </c>
      <c r="F31" s="99">
        <f>1437.61+1147.55</f>
        <v>2585.16</v>
      </c>
      <c r="G31" s="99">
        <f>1430.1+1147.55</f>
        <v>2577.6499999999996</v>
      </c>
      <c r="H31" s="99">
        <f>1287.57+1297.59</f>
        <v>2585.16</v>
      </c>
      <c r="I31" s="99">
        <v>2585.16</v>
      </c>
      <c r="J31" s="99">
        <f>1877.7</f>
        <v>1877.7</v>
      </c>
      <c r="K31" s="99">
        <f>707.45+1126.6+1458.54</f>
        <v>3292.59</v>
      </c>
      <c r="L31" s="99">
        <f>1877.7+707.45</f>
        <v>2585.15</v>
      </c>
      <c r="M31" s="99">
        <f>1512.18</f>
        <v>1512.18</v>
      </c>
      <c r="N31" s="99">
        <f>1341.22+1072.97+1243.94</f>
        <v>3658.13</v>
      </c>
      <c r="O31" s="99">
        <f t="shared" si="5"/>
        <v>29836.110000000004</v>
      </c>
      <c r="Y31" s="110"/>
    </row>
    <row r="32" spans="2:25" s="109" customFormat="1" ht="12">
      <c r="B32" s="99" t="s">
        <v>26</v>
      </c>
      <c r="C32" s="99">
        <v>3355.05</v>
      </c>
      <c r="D32" s="99">
        <v>166.57</v>
      </c>
      <c r="E32" s="99">
        <v>166.57</v>
      </c>
      <c r="F32" s="99">
        <v>493.62</v>
      </c>
      <c r="G32" s="99">
        <v>166.57</v>
      </c>
      <c r="H32" s="99">
        <v>166.57</v>
      </c>
      <c r="I32" s="99">
        <f>166.57+7200.87</f>
        <v>7367.44</v>
      </c>
      <c r="J32" s="99">
        <v>371.87</v>
      </c>
      <c r="K32" s="99">
        <v>205.3</v>
      </c>
      <c r="L32" s="99">
        <v>205.3</v>
      </c>
      <c r="M32" s="99">
        <v>205.3</v>
      </c>
      <c r="N32" s="99">
        <v>205.3</v>
      </c>
      <c r="O32" s="99">
        <f t="shared" si="5"/>
        <v>13075.459999999997</v>
      </c>
      <c r="Y32" s="110"/>
    </row>
    <row r="33" spans="2:25" s="109" customFormat="1" ht="12">
      <c r="B33" s="111" t="s">
        <v>33</v>
      </c>
      <c r="C33" s="99">
        <v>15.51</v>
      </c>
      <c r="D33" s="99">
        <v>15.51</v>
      </c>
      <c r="E33" s="99">
        <v>15.51</v>
      </c>
      <c r="F33" s="99">
        <v>15.51</v>
      </c>
      <c r="G33" s="99">
        <v>15.51</v>
      </c>
      <c r="H33" s="99">
        <v>15.51</v>
      </c>
      <c r="I33" s="99">
        <v>15.51</v>
      </c>
      <c r="J33" s="99">
        <v>15.51</v>
      </c>
      <c r="K33" s="99">
        <v>15.51</v>
      </c>
      <c r="L33" s="99">
        <v>15.51</v>
      </c>
      <c r="M33" s="99">
        <v>15.51</v>
      </c>
      <c r="N33" s="99">
        <v>15.51</v>
      </c>
      <c r="O33" s="99">
        <f t="shared" si="5"/>
        <v>186.11999999999998</v>
      </c>
      <c r="Y33" s="110"/>
    </row>
    <row r="34" spans="2:25" s="109" customFormat="1" ht="12">
      <c r="B34" s="99" t="s">
        <v>34</v>
      </c>
      <c r="C34" s="99">
        <v>1900</v>
      </c>
      <c r="D34" s="99">
        <v>3900</v>
      </c>
      <c r="E34" s="99">
        <f>1950+1950</f>
        <v>3900</v>
      </c>
      <c r="F34" s="99">
        <f>1950+1950</f>
        <v>3900</v>
      </c>
      <c r="G34" s="99">
        <f>1950+1950</f>
        <v>3900</v>
      </c>
      <c r="H34" s="99">
        <f>1950+1950</f>
        <v>3900</v>
      </c>
      <c r="I34" s="99"/>
      <c r="J34" s="99"/>
      <c r="K34" s="99"/>
      <c r="L34" s="99">
        <v>3900</v>
      </c>
      <c r="M34" s="99">
        <v>1950</v>
      </c>
      <c r="N34" s="99">
        <f>1950+2000</f>
        <v>3950</v>
      </c>
      <c r="O34" s="99">
        <f t="shared" si="5"/>
        <v>31200</v>
      </c>
      <c r="Y34" s="110"/>
    </row>
    <row r="35" spans="2:25" s="109" customFormat="1" ht="12">
      <c r="B35" s="99" t="s">
        <v>30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>
        <f t="shared" si="5"/>
        <v>0</v>
      </c>
      <c r="Y35" s="110"/>
    </row>
    <row r="36" spans="2:25" s="109" customFormat="1" ht="12">
      <c r="B36" s="99" t="s">
        <v>36</v>
      </c>
      <c r="C36" s="99">
        <v>899.41</v>
      </c>
      <c r="D36" s="99">
        <v>899.41</v>
      </c>
      <c r="E36" s="99">
        <v>899.41</v>
      </c>
      <c r="F36" s="99">
        <v>899.41</v>
      </c>
      <c r="G36" s="99">
        <v>899.41</v>
      </c>
      <c r="H36" s="99">
        <v>528.73</v>
      </c>
      <c r="I36" s="99">
        <f>1067.78+391.4</f>
        <v>1459.1799999999998</v>
      </c>
      <c r="J36" s="99">
        <f>596.88+358.11</f>
        <v>954.99</v>
      </c>
      <c r="K36" s="99">
        <f>591.8+363.19</f>
        <v>954.99</v>
      </c>
      <c r="L36" s="99">
        <f>645.29+309.7</f>
        <v>954.99</v>
      </c>
      <c r="M36" s="99">
        <f>625.93+329.06</f>
        <v>954.99</v>
      </c>
      <c r="N36" s="99">
        <f>665.71+289.28</f>
        <v>954.99</v>
      </c>
      <c r="O36" s="99">
        <f t="shared" si="5"/>
        <v>11259.91</v>
      </c>
      <c r="Y36" s="110"/>
    </row>
    <row r="37" spans="2:25" s="109" customFormat="1" ht="12">
      <c r="B37" s="99" t="s">
        <v>35</v>
      </c>
      <c r="C37" s="99">
        <v>205.38</v>
      </c>
      <c r="D37" s="99">
        <v>205.38</v>
      </c>
      <c r="E37" s="99">
        <v>205.38</v>
      </c>
      <c r="F37" s="99">
        <v>205.38</v>
      </c>
      <c r="G37" s="99">
        <v>205.38</v>
      </c>
      <c r="H37" s="99">
        <v>205.38</v>
      </c>
      <c r="I37" s="99">
        <v>247.59</v>
      </c>
      <c r="J37" s="99">
        <v>247.59</v>
      </c>
      <c r="K37" s="99">
        <v>247.59</v>
      </c>
      <c r="L37" s="99">
        <v>247.59</v>
      </c>
      <c r="M37" s="99">
        <v>247.59</v>
      </c>
      <c r="N37" s="99">
        <v>247.59</v>
      </c>
      <c r="O37" s="99">
        <f t="shared" si="5"/>
        <v>2717.82</v>
      </c>
      <c r="Y37" s="110"/>
    </row>
    <row r="38" spans="2:25" s="109" customFormat="1" ht="12">
      <c r="B38" s="99" t="s">
        <v>29</v>
      </c>
      <c r="C38" s="99">
        <v>97.68</v>
      </c>
      <c r="D38" s="99">
        <v>282.98</v>
      </c>
      <c r="E38" s="99">
        <v>83.29</v>
      </c>
      <c r="F38" s="99">
        <v>165.21</v>
      </c>
      <c r="G38" s="99"/>
      <c r="H38" s="99">
        <v>100.59</v>
      </c>
      <c r="I38" s="99">
        <v>100.59</v>
      </c>
      <c r="J38" s="99">
        <v>168.3</v>
      </c>
      <c r="K38" s="99">
        <v>159.41</v>
      </c>
      <c r="L38" s="99">
        <v>178.82</v>
      </c>
      <c r="M38" s="99">
        <v>178.82</v>
      </c>
      <c r="N38" s="99">
        <v>101.91</v>
      </c>
      <c r="O38" s="99">
        <f t="shared" si="5"/>
        <v>1617.6000000000001</v>
      </c>
      <c r="Y38" s="110"/>
    </row>
    <row r="39" spans="2:25" s="109" customFormat="1" ht="12">
      <c r="B39" s="99" t="s">
        <v>39</v>
      </c>
      <c r="C39" s="99">
        <v>1000</v>
      </c>
      <c r="D39" s="99">
        <v>582.15</v>
      </c>
      <c r="E39" s="99">
        <v>500</v>
      </c>
      <c r="F39" s="99">
        <v>1000</v>
      </c>
      <c r="G39" s="99">
        <v>1000</v>
      </c>
      <c r="H39" s="99">
        <v>1000</v>
      </c>
      <c r="I39" s="99">
        <v>1000</v>
      </c>
      <c r="J39" s="99">
        <v>1000</v>
      </c>
      <c r="K39" s="99">
        <v>1000</v>
      </c>
      <c r="L39" s="99">
        <v>1000</v>
      </c>
      <c r="M39" s="99">
        <v>1000</v>
      </c>
      <c r="N39" s="99">
        <v>1000</v>
      </c>
      <c r="O39" s="99">
        <f t="shared" si="5"/>
        <v>11082.15</v>
      </c>
      <c r="Y39" s="110"/>
    </row>
    <row r="40" spans="2:25" s="109" customFormat="1" ht="12">
      <c r="B40" s="99" t="s">
        <v>40</v>
      </c>
      <c r="C40" s="99"/>
      <c r="D40" s="99"/>
      <c r="E40" s="99"/>
      <c r="F40" s="99"/>
      <c r="G40" s="99"/>
      <c r="H40" s="99">
        <v>313.18</v>
      </c>
      <c r="I40" s="99">
        <v>313.18</v>
      </c>
      <c r="J40" s="99">
        <v>313.18</v>
      </c>
      <c r="K40" s="99"/>
      <c r="L40" s="99"/>
      <c r="M40" s="99"/>
      <c r="N40" s="99"/>
      <c r="O40" s="99">
        <f t="shared" si="5"/>
        <v>939.54</v>
      </c>
      <c r="Y40" s="110"/>
    </row>
    <row r="41" spans="2:25" s="109" customFormat="1" ht="12">
      <c r="B41" s="99" t="s">
        <v>41</v>
      </c>
      <c r="C41" s="99"/>
      <c r="D41" s="99"/>
      <c r="E41" s="99"/>
      <c r="F41" s="99"/>
      <c r="G41" s="99">
        <v>5305.5</v>
      </c>
      <c r="H41" s="99">
        <v>30</v>
      </c>
      <c r="I41" s="99"/>
      <c r="J41" s="99"/>
      <c r="K41" s="99"/>
      <c r="L41" s="99"/>
      <c r="M41" s="99"/>
      <c r="N41" s="99"/>
      <c r="O41" s="99">
        <f t="shared" si="5"/>
        <v>5335.5</v>
      </c>
      <c r="Y41" s="110"/>
    </row>
    <row r="42" spans="2:25" s="109" customFormat="1" ht="12"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Y42" s="110"/>
    </row>
    <row r="43" spans="2:25" s="109" customFormat="1" ht="12">
      <c r="B43" s="108" t="s">
        <v>42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Y43" s="110"/>
    </row>
    <row r="44" spans="2:25" s="109" customFormat="1" ht="12">
      <c r="B44" s="99" t="s">
        <v>45</v>
      </c>
      <c r="C44" s="99">
        <v>68.15</v>
      </c>
      <c r="D44" s="99">
        <v>68.15</v>
      </c>
      <c r="E44" s="99">
        <v>68.15</v>
      </c>
      <c r="F44" s="99">
        <v>68.15</v>
      </c>
      <c r="G44" s="99">
        <v>68.15</v>
      </c>
      <c r="H44" s="99">
        <v>68.15</v>
      </c>
      <c r="I44" s="99">
        <v>68.15</v>
      </c>
      <c r="J44" s="99">
        <v>68.15</v>
      </c>
      <c r="K44" s="99">
        <v>68.15</v>
      </c>
      <c r="L44" s="99">
        <v>68.15</v>
      </c>
      <c r="M44" s="99">
        <v>68.15</v>
      </c>
      <c r="N44" s="99">
        <v>68.15</v>
      </c>
      <c r="O44" s="99">
        <f t="shared" si="5"/>
        <v>817.7999999999998</v>
      </c>
      <c r="Y44" s="110"/>
    </row>
    <row r="45" spans="2:25" s="109" customFormat="1" ht="12">
      <c r="B45" s="99" t="s">
        <v>126</v>
      </c>
      <c r="C45" s="99">
        <v>239.25</v>
      </c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>
        <f t="shared" si="5"/>
        <v>239.25</v>
      </c>
      <c r="Y45" s="110"/>
    </row>
    <row r="46" spans="2:25" s="109" customFormat="1" ht="12">
      <c r="B46" s="99" t="s">
        <v>46</v>
      </c>
      <c r="C46" s="99"/>
      <c r="D46" s="99">
        <f>239.47+58.82</f>
        <v>298.29</v>
      </c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>
        <f t="shared" si="5"/>
        <v>298.29</v>
      </c>
      <c r="Y46" s="110"/>
    </row>
    <row r="47" spans="2:25" s="109" customFormat="1" ht="12">
      <c r="B47" s="99" t="s">
        <v>52</v>
      </c>
      <c r="C47" s="99"/>
      <c r="D47" s="99">
        <v>250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>
        <f t="shared" si="5"/>
        <v>250</v>
      </c>
      <c r="Y47" s="110"/>
    </row>
    <row r="48" spans="2:25" s="109" customFormat="1" ht="12">
      <c r="B48" s="99" t="s">
        <v>47</v>
      </c>
      <c r="C48" s="99"/>
      <c r="D48" s="99">
        <v>117.65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>
        <f t="shared" si="5"/>
        <v>117.65</v>
      </c>
      <c r="Y48" s="110"/>
    </row>
    <row r="49" spans="2:25" s="109" customFormat="1" ht="12">
      <c r="B49" s="99" t="s">
        <v>56</v>
      </c>
      <c r="C49" s="99"/>
      <c r="D49" s="99">
        <v>500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>
        <f t="shared" si="5"/>
        <v>500</v>
      </c>
      <c r="Y49" s="110"/>
    </row>
    <row r="50" spans="2:25" s="109" customFormat="1" ht="12">
      <c r="B50" s="99" t="s">
        <v>50</v>
      </c>
      <c r="C50" s="99"/>
      <c r="D50" s="99"/>
      <c r="E50" s="112">
        <v>126.47</v>
      </c>
      <c r="F50" s="99"/>
      <c r="G50" s="99">
        <v>748</v>
      </c>
      <c r="H50" s="99">
        <v>420</v>
      </c>
      <c r="I50" s="99"/>
      <c r="J50" s="99">
        <v>25</v>
      </c>
      <c r="K50" s="99"/>
      <c r="L50" s="99"/>
      <c r="M50" s="99"/>
      <c r="N50" s="99"/>
      <c r="O50" s="99">
        <f t="shared" si="5"/>
        <v>1319.47</v>
      </c>
      <c r="Y50" s="110"/>
    </row>
    <row r="51" spans="2:25" s="109" customFormat="1" ht="12">
      <c r="B51" s="99" t="s">
        <v>49</v>
      </c>
      <c r="C51" s="99"/>
      <c r="D51" s="99"/>
      <c r="E51" s="99"/>
      <c r="F51" s="99">
        <v>775</v>
      </c>
      <c r="G51" s="99"/>
      <c r="H51" s="99"/>
      <c r="I51" s="99"/>
      <c r="J51" s="99"/>
      <c r="K51" s="99"/>
      <c r="L51" s="99"/>
      <c r="M51" s="99"/>
      <c r="N51" s="99"/>
      <c r="O51" s="99">
        <f t="shared" si="5"/>
        <v>775</v>
      </c>
      <c r="Y51" s="110"/>
    </row>
    <row r="52" spans="2:25" s="109" customFormat="1" ht="12">
      <c r="B52" s="99" t="s">
        <v>57</v>
      </c>
      <c r="C52" s="99"/>
      <c r="D52" s="99"/>
      <c r="E52" s="99"/>
      <c r="F52" s="99">
        <v>250</v>
      </c>
      <c r="G52" s="99"/>
      <c r="H52" s="99"/>
      <c r="I52" s="99"/>
      <c r="J52" s="99"/>
      <c r="K52" s="99"/>
      <c r="L52" s="99"/>
      <c r="M52" s="99"/>
      <c r="N52" s="99"/>
      <c r="O52" s="99">
        <f t="shared" si="5"/>
        <v>250</v>
      </c>
      <c r="Y52" s="110"/>
    </row>
    <row r="53" spans="2:25" s="109" customFormat="1" ht="12">
      <c r="B53" s="99" t="s">
        <v>51</v>
      </c>
      <c r="C53" s="99"/>
      <c r="D53" s="99"/>
      <c r="E53" s="99"/>
      <c r="F53" s="99"/>
      <c r="G53" s="99">
        <v>405.71</v>
      </c>
      <c r="H53" s="99">
        <f>116.92+58.46</f>
        <v>175.38</v>
      </c>
      <c r="I53" s="99">
        <v>47.6</v>
      </c>
      <c r="J53" s="99">
        <v>80.77</v>
      </c>
      <c r="K53" s="99"/>
      <c r="L53" s="99"/>
      <c r="M53" s="99"/>
      <c r="N53" s="99"/>
      <c r="O53" s="99">
        <f t="shared" si="5"/>
        <v>709.4599999999999</v>
      </c>
      <c r="Y53" s="110"/>
    </row>
    <row r="54" spans="2:25" s="109" customFormat="1" ht="12">
      <c r="B54" s="111" t="s">
        <v>48</v>
      </c>
      <c r="C54" s="99"/>
      <c r="D54" s="99"/>
      <c r="E54" s="99">
        <v>17.65</v>
      </c>
      <c r="F54" s="99"/>
      <c r="G54" s="99"/>
      <c r="H54" s="99"/>
      <c r="I54" s="99"/>
      <c r="J54" s="99"/>
      <c r="K54" s="99"/>
      <c r="L54" s="99"/>
      <c r="M54" s="99"/>
      <c r="N54" s="99"/>
      <c r="O54" s="99">
        <f t="shared" si="5"/>
        <v>17.65</v>
      </c>
      <c r="Y54" s="110"/>
    </row>
    <row r="55" spans="2:25" s="109" customFormat="1" ht="12">
      <c r="B55" s="99" t="s">
        <v>58</v>
      </c>
      <c r="C55" s="99"/>
      <c r="D55" s="99"/>
      <c r="E55" s="99"/>
      <c r="F55" s="99"/>
      <c r="G55" s="99"/>
      <c r="H55" s="99">
        <v>350</v>
      </c>
      <c r="I55" s="99"/>
      <c r="J55" s="99"/>
      <c r="K55" s="99"/>
      <c r="L55" s="99"/>
      <c r="M55" s="99"/>
      <c r="N55" s="99"/>
      <c r="O55" s="99">
        <f t="shared" si="5"/>
        <v>350</v>
      </c>
      <c r="Y55" s="110"/>
    </row>
    <row r="56" spans="2:25" s="109" customFormat="1" ht="12">
      <c r="B56" s="99" t="s">
        <v>123</v>
      </c>
      <c r="C56" s="99"/>
      <c r="D56" s="99"/>
      <c r="E56" s="99"/>
      <c r="F56" s="99"/>
      <c r="G56" s="99"/>
      <c r="H56" s="99">
        <v>182.43</v>
      </c>
      <c r="I56" s="99"/>
      <c r="J56" s="99"/>
      <c r="K56" s="99"/>
      <c r="L56" s="99"/>
      <c r="M56" s="99"/>
      <c r="N56" s="99"/>
      <c r="O56" s="99">
        <f t="shared" si="5"/>
        <v>182.43</v>
      </c>
      <c r="Y56" s="110"/>
    </row>
    <row r="57" spans="2:25" s="109" customFormat="1" ht="12">
      <c r="B57" s="99" t="s">
        <v>124</v>
      </c>
      <c r="C57" s="99"/>
      <c r="D57" s="99"/>
      <c r="E57" s="99"/>
      <c r="F57" s="99">
        <v>7273.2</v>
      </c>
      <c r="G57" s="99"/>
      <c r="H57" s="99"/>
      <c r="I57" s="99"/>
      <c r="J57" s="99"/>
      <c r="K57" s="99"/>
      <c r="L57" s="99"/>
      <c r="M57" s="99"/>
      <c r="N57" s="99"/>
      <c r="O57" s="99">
        <f t="shared" si="5"/>
        <v>7273.2</v>
      </c>
      <c r="Y57" s="110"/>
    </row>
    <row r="58" spans="2:25" s="109" customFormat="1" ht="12">
      <c r="B58" s="99" t="s">
        <v>130</v>
      </c>
      <c r="C58" s="99"/>
      <c r="D58" s="99"/>
      <c r="E58" s="99"/>
      <c r="F58" s="99"/>
      <c r="G58" s="99"/>
      <c r="H58" s="99"/>
      <c r="I58" s="99">
        <v>161.76</v>
      </c>
      <c r="J58" s="99"/>
      <c r="K58" s="99"/>
      <c r="L58" s="99"/>
      <c r="M58" s="99"/>
      <c r="N58" s="99"/>
      <c r="O58" s="99">
        <f t="shared" si="5"/>
        <v>161.76</v>
      </c>
      <c r="Y58" s="110"/>
    </row>
    <row r="59" spans="2:25" s="109" customFormat="1" ht="12">
      <c r="B59" s="99" t="s">
        <v>134</v>
      </c>
      <c r="C59" s="99"/>
      <c r="D59" s="99"/>
      <c r="E59" s="99"/>
      <c r="F59" s="99"/>
      <c r="G59" s="99"/>
      <c r="H59" s="99"/>
      <c r="I59" s="99">
        <v>93.51</v>
      </c>
      <c r="J59" s="99"/>
      <c r="K59" s="99"/>
      <c r="L59" s="99">
        <v>15.17</v>
      </c>
      <c r="M59" s="99"/>
      <c r="N59" s="99"/>
      <c r="O59" s="99">
        <f t="shared" si="5"/>
        <v>108.68</v>
      </c>
      <c r="Y59" s="110"/>
    </row>
    <row r="60" spans="2:25" s="109" customFormat="1" ht="12">
      <c r="B60" s="99" t="s">
        <v>136</v>
      </c>
      <c r="C60" s="99"/>
      <c r="D60" s="99"/>
      <c r="E60" s="99"/>
      <c r="F60" s="99"/>
      <c r="G60" s="99"/>
      <c r="H60" s="99"/>
      <c r="I60" s="99">
        <v>2000</v>
      </c>
      <c r="J60" s="99"/>
      <c r="K60" s="99"/>
      <c r="L60" s="99"/>
      <c r="M60" s="99"/>
      <c r="N60" s="99"/>
      <c r="O60" s="99">
        <f t="shared" si="5"/>
        <v>2000</v>
      </c>
      <c r="Y60" s="110"/>
    </row>
    <row r="61" spans="2:25" s="109" customFormat="1" ht="12">
      <c r="B61" s="99" t="s">
        <v>138</v>
      </c>
      <c r="C61" s="99"/>
      <c r="D61" s="99"/>
      <c r="E61" s="99"/>
      <c r="F61" s="99"/>
      <c r="G61" s="99"/>
      <c r="H61" s="99"/>
      <c r="I61" s="99">
        <v>3400</v>
      </c>
      <c r="J61" s="99"/>
      <c r="K61" s="99"/>
      <c r="L61" s="99"/>
      <c r="M61" s="99"/>
      <c r="N61" s="99"/>
      <c r="O61" s="99">
        <f t="shared" si="5"/>
        <v>3400</v>
      </c>
      <c r="Y61" s="110"/>
    </row>
    <row r="62" spans="2:25" s="109" customFormat="1" ht="12">
      <c r="B62" s="111" t="s">
        <v>139</v>
      </c>
      <c r="C62" s="99"/>
      <c r="D62" s="99"/>
      <c r="E62" s="99"/>
      <c r="F62" s="99"/>
      <c r="G62" s="99"/>
      <c r="H62" s="99"/>
      <c r="I62" s="99"/>
      <c r="J62" s="99">
        <v>12.07</v>
      </c>
      <c r="K62" s="99"/>
      <c r="L62" s="99"/>
      <c r="M62" s="99"/>
      <c r="N62" s="99"/>
      <c r="O62" s="99">
        <f t="shared" si="5"/>
        <v>12.07</v>
      </c>
      <c r="Y62" s="110"/>
    </row>
    <row r="63" spans="2:25" s="109" customFormat="1" ht="12">
      <c r="B63" s="99" t="s">
        <v>155</v>
      </c>
      <c r="C63" s="99"/>
      <c r="D63" s="99"/>
      <c r="E63" s="99"/>
      <c r="F63" s="99"/>
      <c r="G63" s="99"/>
      <c r="H63" s="99"/>
      <c r="I63" s="99"/>
      <c r="J63" s="99">
        <v>80.47</v>
      </c>
      <c r="K63" s="99"/>
      <c r="L63" s="99">
        <v>89.8</v>
      </c>
      <c r="M63" s="99">
        <v>89.8</v>
      </c>
      <c r="N63" s="99">
        <v>119.73</v>
      </c>
      <c r="O63" s="99">
        <f t="shared" si="5"/>
        <v>379.8</v>
      </c>
      <c r="Y63" s="110"/>
    </row>
    <row r="64" spans="2:25" s="109" customFormat="1" ht="12">
      <c r="B64" s="99" t="s">
        <v>156</v>
      </c>
      <c r="C64" s="99"/>
      <c r="D64" s="99"/>
      <c r="E64" s="99"/>
      <c r="F64" s="99"/>
      <c r="G64" s="99"/>
      <c r="H64" s="99"/>
      <c r="I64" s="99"/>
      <c r="J64" s="99">
        <v>10.46</v>
      </c>
      <c r="K64" s="99"/>
      <c r="L64" s="99"/>
      <c r="M64" s="99"/>
      <c r="N64" s="99"/>
      <c r="O64" s="99">
        <f t="shared" si="5"/>
        <v>10.46</v>
      </c>
      <c r="Y64" s="110"/>
    </row>
    <row r="65" spans="2:25" s="109" customFormat="1" ht="12">
      <c r="B65" s="99" t="s">
        <v>157</v>
      </c>
      <c r="C65" s="99"/>
      <c r="D65" s="99"/>
      <c r="E65" s="99"/>
      <c r="F65" s="99"/>
      <c r="G65" s="99"/>
      <c r="H65" s="99"/>
      <c r="I65" s="99"/>
      <c r="J65" s="99"/>
      <c r="K65" s="99">
        <v>160.75</v>
      </c>
      <c r="L65" s="99"/>
      <c r="M65" s="99"/>
      <c r="N65" s="99"/>
      <c r="O65" s="99">
        <f t="shared" si="5"/>
        <v>160.75</v>
      </c>
      <c r="Y65" s="110"/>
    </row>
    <row r="66" spans="2:25" s="109" customFormat="1" ht="12">
      <c r="B66" s="99" t="s">
        <v>220</v>
      </c>
      <c r="C66" s="99"/>
      <c r="D66" s="99"/>
      <c r="E66" s="99"/>
      <c r="F66" s="99"/>
      <c r="G66" s="99"/>
      <c r="H66" s="99"/>
      <c r="I66" s="99"/>
      <c r="J66" s="99"/>
      <c r="K66" s="99">
        <v>5459.44</v>
      </c>
      <c r="L66" s="99"/>
      <c r="M66" s="99"/>
      <c r="N66" s="99"/>
      <c r="O66" s="99">
        <f t="shared" si="5"/>
        <v>5459.44</v>
      </c>
      <c r="Y66" s="110"/>
    </row>
    <row r="67" spans="2:25" s="109" customFormat="1" ht="12">
      <c r="B67" s="99" t="s">
        <v>159</v>
      </c>
      <c r="C67" s="99"/>
      <c r="D67" s="99"/>
      <c r="E67" s="99"/>
      <c r="F67" s="99"/>
      <c r="G67" s="99"/>
      <c r="H67" s="99"/>
      <c r="I67" s="99"/>
      <c r="J67" s="99"/>
      <c r="K67" s="99">
        <v>17.5</v>
      </c>
      <c r="L67" s="99"/>
      <c r="M67" s="99"/>
      <c r="N67" s="99"/>
      <c r="O67" s="99">
        <f t="shared" si="5"/>
        <v>17.5</v>
      </c>
      <c r="Y67" s="110"/>
    </row>
    <row r="68" spans="2:25" s="109" customFormat="1" ht="12">
      <c r="B68" s="99" t="s">
        <v>221</v>
      </c>
      <c r="C68" s="99"/>
      <c r="D68" s="99"/>
      <c r="E68" s="99"/>
      <c r="F68" s="99"/>
      <c r="G68" s="99"/>
      <c r="H68" s="99"/>
      <c r="I68" s="99"/>
      <c r="J68" s="99">
        <v>3400</v>
      </c>
      <c r="K68" s="99">
        <v>3400</v>
      </c>
      <c r="L68" s="99">
        <v>3400</v>
      </c>
      <c r="M68" s="99">
        <v>3400</v>
      </c>
      <c r="N68" s="99"/>
      <c r="O68" s="99">
        <f t="shared" si="5"/>
        <v>13600</v>
      </c>
      <c r="Y68" s="110"/>
    </row>
    <row r="69" spans="2:25" s="109" customFormat="1" ht="12">
      <c r="B69" s="99" t="s">
        <v>223</v>
      </c>
      <c r="C69" s="99"/>
      <c r="D69" s="99"/>
      <c r="E69" s="99"/>
      <c r="F69" s="99"/>
      <c r="G69" s="99"/>
      <c r="H69" s="99"/>
      <c r="I69" s="99"/>
      <c r="J69" s="99">
        <v>250</v>
      </c>
      <c r="K69" s="99"/>
      <c r="L69" s="99"/>
      <c r="M69" s="99"/>
      <c r="N69" s="99"/>
      <c r="O69" s="99">
        <f t="shared" si="5"/>
        <v>250</v>
      </c>
      <c r="Y69" s="110"/>
    </row>
    <row r="70" spans="2:25" s="109" customFormat="1" ht="12">
      <c r="B70" s="99" t="s">
        <v>222</v>
      </c>
      <c r="C70" s="99"/>
      <c r="D70" s="99"/>
      <c r="E70" s="99"/>
      <c r="F70" s="99"/>
      <c r="G70" s="99"/>
      <c r="H70" s="99"/>
      <c r="I70" s="99"/>
      <c r="J70" s="99"/>
      <c r="K70" s="99"/>
      <c r="L70" s="99">
        <v>1500</v>
      </c>
      <c r="M70" s="99"/>
      <c r="N70" s="99"/>
      <c r="O70" s="99">
        <f t="shared" si="5"/>
        <v>1500</v>
      </c>
      <c r="Y70" s="110"/>
    </row>
    <row r="71" spans="2:25" s="109" customFormat="1" ht="12">
      <c r="B71" s="99" t="s">
        <v>189</v>
      </c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>
        <v>110.75</v>
      </c>
      <c r="N71" s="99"/>
      <c r="O71" s="99">
        <f t="shared" si="5"/>
        <v>110.75</v>
      </c>
      <c r="Y71" s="110"/>
    </row>
    <row r="72" spans="2:25" s="109" customFormat="1" ht="12">
      <c r="B72" s="99" t="s">
        <v>167</v>
      </c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>
        <v>10.31</v>
      </c>
      <c r="N72" s="99"/>
      <c r="O72" s="99">
        <f t="shared" si="5"/>
        <v>10.31</v>
      </c>
      <c r="Y72" s="110"/>
    </row>
    <row r="73" spans="2:25" s="109" customFormat="1" ht="12">
      <c r="B73" s="99" t="s">
        <v>182</v>
      </c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>
        <v>26.82</v>
      </c>
      <c r="O73" s="99">
        <f t="shared" si="5"/>
        <v>26.82</v>
      </c>
      <c r="Y73" s="110"/>
    </row>
    <row r="74" spans="2:25" s="109" customFormat="1" ht="12"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>
        <f t="shared" si="5"/>
        <v>0</v>
      </c>
      <c r="Y74" s="110"/>
    </row>
    <row r="75" spans="2:25" s="109" customFormat="1" ht="12">
      <c r="B75" s="108" t="s">
        <v>16</v>
      </c>
      <c r="C75" s="108">
        <f aca="true" t="shared" si="6" ref="C75:O75">SUM(C28:C74)</f>
        <v>15907.88</v>
      </c>
      <c r="D75" s="108">
        <f t="shared" si="6"/>
        <v>17220.8</v>
      </c>
      <c r="E75" s="108">
        <f t="shared" si="6"/>
        <v>15808.579999999998</v>
      </c>
      <c r="F75" s="108">
        <f t="shared" si="6"/>
        <v>23627.69</v>
      </c>
      <c r="G75" s="108">
        <f t="shared" si="6"/>
        <v>22669.51</v>
      </c>
      <c r="H75" s="108">
        <f t="shared" si="6"/>
        <v>15974.369999999999</v>
      </c>
      <c r="I75" s="108">
        <f t="shared" si="6"/>
        <v>25785.759999999995</v>
      </c>
      <c r="J75" s="108">
        <f t="shared" si="6"/>
        <v>15048.509999999997</v>
      </c>
      <c r="K75" s="108">
        <f t="shared" si="6"/>
        <v>21214.91</v>
      </c>
      <c r="L75" s="108">
        <f t="shared" si="6"/>
        <v>20491.21</v>
      </c>
      <c r="M75" s="108">
        <f t="shared" si="6"/>
        <v>15842.099999999997</v>
      </c>
      <c r="N75" s="108">
        <f t="shared" si="6"/>
        <v>16627.48</v>
      </c>
      <c r="O75" s="108">
        <f t="shared" si="6"/>
        <v>226755.28999999998</v>
      </c>
      <c r="Y75" s="110"/>
    </row>
    <row r="77" spans="2:15" ht="12">
      <c r="B77" s="113" t="s">
        <v>149</v>
      </c>
      <c r="C77" s="114">
        <f aca="true" t="shared" si="7" ref="C77:O77">C7+C20-C75</f>
        <v>-209308.74</v>
      </c>
      <c r="D77" s="114">
        <f t="shared" si="7"/>
        <v>-215796.91999999998</v>
      </c>
      <c r="E77" s="114">
        <f t="shared" si="7"/>
        <v>-220711.77999999997</v>
      </c>
      <c r="F77" s="114">
        <f t="shared" si="7"/>
        <v>-224872.44999999998</v>
      </c>
      <c r="G77" s="114">
        <f t="shared" si="7"/>
        <v>-181172.41999999998</v>
      </c>
      <c r="H77" s="114">
        <f t="shared" si="7"/>
        <v>-175938.15999999997</v>
      </c>
      <c r="I77" s="114">
        <f t="shared" si="7"/>
        <v>-173019.87</v>
      </c>
      <c r="J77" s="114">
        <f t="shared" si="7"/>
        <v>-172046.37</v>
      </c>
      <c r="K77" s="114">
        <f t="shared" si="7"/>
        <v>-176325.94999999998</v>
      </c>
      <c r="L77" s="162">
        <f t="shared" si="7"/>
        <v>-183583.84999999998</v>
      </c>
      <c r="M77" s="114">
        <f t="shared" si="7"/>
        <v>-181952.4</v>
      </c>
      <c r="N77" s="114">
        <f t="shared" si="7"/>
        <v>-186786.03</v>
      </c>
      <c r="O77" s="115">
        <f t="shared" si="7"/>
        <v>-187322.51999999993</v>
      </c>
    </row>
    <row r="78" spans="2:25" s="167" customFormat="1" ht="12"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163"/>
      <c r="M78" s="88"/>
      <c r="N78" s="88"/>
      <c r="O78" s="89"/>
      <c r="Y78" s="168"/>
    </row>
    <row r="79" spans="2:25" s="88" customFormat="1" ht="12" hidden="1">
      <c r="B79" s="116"/>
      <c r="L79" s="163"/>
      <c r="O79" s="89"/>
      <c r="Y79" s="89"/>
    </row>
    <row r="80" s="89" customFormat="1" ht="12">
      <c r="L80" s="164"/>
    </row>
    <row r="81" spans="2:12" s="89" customFormat="1" ht="12">
      <c r="B81" s="117"/>
      <c r="L81" s="164"/>
    </row>
    <row r="82" spans="2:15" s="87" customFormat="1" ht="12"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</row>
    <row r="83" ht="12">
      <c r="B83" s="86" t="s">
        <v>24</v>
      </c>
    </row>
    <row r="84" ht="12">
      <c r="B84" s="86" t="s">
        <v>25</v>
      </c>
    </row>
  </sheetData>
  <sheetProtection selectLockedCells="1" selectUnlockedCells="1"/>
  <mergeCells count="3">
    <mergeCell ref="B2:O2"/>
    <mergeCell ref="B1:O1"/>
    <mergeCell ref="B3:O3"/>
  </mergeCells>
  <printOptions/>
  <pageMargins left="1.570138888888889" right="0.75" top="0.32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E1:AB96"/>
  <sheetViews>
    <sheetView zoomScalePageLayoutView="0" workbookViewId="0" topLeftCell="A1">
      <pane xSplit="5" ySplit="5" topLeftCell="F7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95" sqref="S95"/>
    </sheetView>
  </sheetViews>
  <sheetFormatPr defaultColWidth="12.625" defaultRowHeight="12.75"/>
  <cols>
    <col min="1" max="1" width="5.625" style="86" customWidth="1"/>
    <col min="2" max="2" width="12.625" style="86" hidden="1" customWidth="1"/>
    <col min="3" max="3" width="7.00390625" style="86" hidden="1" customWidth="1"/>
    <col min="4" max="4" width="12.625" style="86" hidden="1" customWidth="1"/>
    <col min="5" max="5" width="44.125" style="86" customWidth="1"/>
    <col min="6" max="17" width="12.625" style="86" hidden="1" customWidth="1"/>
    <col min="18" max="18" width="12.625" style="87" customWidth="1"/>
    <col min="19" max="27" width="12.625" style="86" customWidth="1"/>
    <col min="28" max="28" width="12.625" style="87" customWidth="1"/>
    <col min="29" max="16384" width="12.625" style="86" customWidth="1"/>
  </cols>
  <sheetData>
    <row r="1" spans="5:19" ht="12">
      <c r="E1" s="194" t="s">
        <v>151</v>
      </c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85"/>
    </row>
    <row r="2" spans="5:19" ht="12">
      <c r="E2" s="194" t="s">
        <v>152</v>
      </c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85"/>
    </row>
    <row r="3" spans="5:19" ht="12">
      <c r="E3" s="195" t="s">
        <v>89</v>
      </c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85"/>
    </row>
    <row r="5" spans="5:18" ht="25.5" customHeight="1">
      <c r="E5" s="90" t="s">
        <v>90</v>
      </c>
      <c r="F5" s="91" t="s">
        <v>0</v>
      </c>
      <c r="G5" s="91" t="s">
        <v>1</v>
      </c>
      <c r="H5" s="91" t="s">
        <v>2</v>
      </c>
      <c r="I5" s="91" t="s">
        <v>3</v>
      </c>
      <c r="J5" s="91" t="s">
        <v>4</v>
      </c>
      <c r="K5" s="91" t="s">
        <v>5</v>
      </c>
      <c r="L5" s="91" t="s">
        <v>6</v>
      </c>
      <c r="M5" s="91" t="s">
        <v>7</v>
      </c>
      <c r="N5" s="91" t="s">
        <v>8</v>
      </c>
      <c r="O5" s="91" t="s">
        <v>9</v>
      </c>
      <c r="P5" s="91" t="s">
        <v>10</v>
      </c>
      <c r="Q5" s="91" t="s">
        <v>11</v>
      </c>
      <c r="R5" s="169" t="s">
        <v>150</v>
      </c>
    </row>
    <row r="6" spans="5:18" ht="12"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5:18" ht="12">
      <c r="E7" s="94" t="s">
        <v>43</v>
      </c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4"/>
    </row>
    <row r="8" spans="5:18" ht="12">
      <c r="E8" s="93" t="s">
        <v>13</v>
      </c>
      <c r="F8" s="93">
        <v>57816.34</v>
      </c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>
        <f>F8+G8+H8+I8+J8+K8+L8+M8+N8+O8+P8+Q8</f>
        <v>57816.34</v>
      </c>
    </row>
    <row r="9" spans="5:18" ht="12"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>
        <f>F9+G9+H9+I9+J9+K9+L9+M9+N9+O9+P9+Q9</f>
        <v>0</v>
      </c>
    </row>
    <row r="10" spans="5:18" s="87" customFormat="1" ht="12">
      <c r="E10" s="94" t="s">
        <v>16</v>
      </c>
      <c r="F10" s="94">
        <f>F8+F9</f>
        <v>57816.34</v>
      </c>
      <c r="G10" s="94">
        <f aca="true" t="shared" si="0" ref="G10:L10">F90</f>
        <v>57378.66999999999</v>
      </c>
      <c r="H10" s="94">
        <f t="shared" si="0"/>
        <v>40736.36999999997</v>
      </c>
      <c r="I10" s="94">
        <f t="shared" si="0"/>
        <v>63041.33999999997</v>
      </c>
      <c r="J10" s="94">
        <f t="shared" si="0"/>
        <v>57043.84999999996</v>
      </c>
      <c r="K10" s="94">
        <f t="shared" si="0"/>
        <v>37788.67999999995</v>
      </c>
      <c r="L10" s="94">
        <f t="shared" si="0"/>
        <v>29788.08999999994</v>
      </c>
      <c r="M10" s="94">
        <f>L90</f>
        <v>22685.99999999994</v>
      </c>
      <c r="N10" s="94">
        <f>M90</f>
        <v>37188.95999999995</v>
      </c>
      <c r="O10" s="94">
        <f>N90</f>
        <v>-752.9000000000669</v>
      </c>
      <c r="P10" s="94">
        <f>O90</f>
        <v>7225.93999999993</v>
      </c>
      <c r="Q10" s="94">
        <f>P90</f>
        <v>8921.899999999936</v>
      </c>
      <c r="R10" s="94">
        <f>R8+R9</f>
        <v>57816.34</v>
      </c>
    </row>
    <row r="11" spans="5:18" ht="12"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4"/>
    </row>
    <row r="12" spans="5:28" s="97" customFormat="1" ht="12">
      <c r="E12" s="95" t="s">
        <v>17</v>
      </c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5"/>
      <c r="AB12" s="98"/>
    </row>
    <row r="13" spans="5:28" s="97" customFormat="1" ht="12">
      <c r="E13" s="96" t="s">
        <v>13</v>
      </c>
      <c r="F13" s="96">
        <v>55780.99</v>
      </c>
      <c r="G13" s="96">
        <v>55780.99</v>
      </c>
      <c r="H13" s="96">
        <v>55780.99</v>
      </c>
      <c r="I13" s="96">
        <v>55780.99</v>
      </c>
      <c r="J13" s="96">
        <v>55780.99</v>
      </c>
      <c r="K13" s="96">
        <v>55780.99</v>
      </c>
      <c r="L13" s="96">
        <v>63070.52</v>
      </c>
      <c r="M13" s="96">
        <v>63070.52</v>
      </c>
      <c r="N13" s="96">
        <v>63070.52</v>
      </c>
      <c r="O13" s="96">
        <v>63070.52</v>
      </c>
      <c r="P13" s="96">
        <v>63070.52</v>
      </c>
      <c r="Q13" s="96">
        <v>63070.52</v>
      </c>
      <c r="R13" s="96">
        <f>F13+G13+H13+I13+J13+K13+L13+M13+N13+O13+P13+Q13</f>
        <v>713109.06</v>
      </c>
      <c r="AB13" s="98"/>
    </row>
    <row r="14" spans="5:28" s="97" customFormat="1" ht="12"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>
        <f>F14+G14+H14+I14+J14+K14+L14+M14+N14+O14+P14+Q14</f>
        <v>0</v>
      </c>
      <c r="AB14" s="98"/>
    </row>
    <row r="15" spans="5:18" s="98" customFormat="1" ht="12">
      <c r="E15" s="95" t="s">
        <v>16</v>
      </c>
      <c r="F15" s="95">
        <f aca="true" t="shared" si="1" ref="F15:Q15">SUM(F11:F14)</f>
        <v>55780.99</v>
      </c>
      <c r="G15" s="95">
        <f t="shared" si="1"/>
        <v>55780.99</v>
      </c>
      <c r="H15" s="95">
        <f t="shared" si="1"/>
        <v>55780.99</v>
      </c>
      <c r="I15" s="95">
        <f t="shared" si="1"/>
        <v>55780.99</v>
      </c>
      <c r="J15" s="95">
        <f t="shared" si="1"/>
        <v>55780.99</v>
      </c>
      <c r="K15" s="95">
        <f t="shared" si="1"/>
        <v>55780.99</v>
      </c>
      <c r="L15" s="95">
        <f t="shared" si="1"/>
        <v>63070.52</v>
      </c>
      <c r="M15" s="95">
        <f t="shared" si="1"/>
        <v>63070.52</v>
      </c>
      <c r="N15" s="95">
        <f t="shared" si="1"/>
        <v>63070.52</v>
      </c>
      <c r="O15" s="95">
        <f t="shared" si="1"/>
        <v>63070.52</v>
      </c>
      <c r="P15" s="95">
        <f t="shared" si="1"/>
        <v>63070.52</v>
      </c>
      <c r="Q15" s="95">
        <f t="shared" si="1"/>
        <v>63070.52</v>
      </c>
      <c r="R15" s="95">
        <f>F15+G15+H15+I15+J15+K15+L15+M15+N15+O15+P15+Q15</f>
        <v>713109.06</v>
      </c>
    </row>
    <row r="16" spans="5:18" ht="12"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4"/>
    </row>
    <row r="17" spans="5:28" s="102" customFormat="1" ht="12">
      <c r="E17" s="100" t="s">
        <v>18</v>
      </c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0"/>
      <c r="AB17" s="103"/>
    </row>
    <row r="18" spans="5:28" s="102" customFormat="1" ht="12">
      <c r="E18" s="101" t="s">
        <v>13</v>
      </c>
      <c r="F18" s="101">
        <v>45673.45</v>
      </c>
      <c r="G18" s="101">
        <v>39328.17</v>
      </c>
      <c r="H18" s="101">
        <v>68922.07</v>
      </c>
      <c r="I18" s="101">
        <v>52892.57</v>
      </c>
      <c r="J18" s="101">
        <v>52816.11</v>
      </c>
      <c r="K18" s="101">
        <f>54161.24+1073+1103.1+644.58</f>
        <v>56981.92</v>
      </c>
      <c r="L18" s="101">
        <v>51785.88</v>
      </c>
      <c r="M18" s="101">
        <v>64672.97</v>
      </c>
      <c r="N18" s="101">
        <v>58807.32</v>
      </c>
      <c r="O18" s="101">
        <v>53715.66</v>
      </c>
      <c r="P18" s="101">
        <v>55613.58</v>
      </c>
      <c r="Q18" s="101">
        <v>61287.94</v>
      </c>
      <c r="R18" s="101">
        <f>F18+G18+H18+I18+J18+K18+L18+M18+N18+O18+P18+Q18</f>
        <v>662497.6399999999</v>
      </c>
      <c r="AB18" s="103"/>
    </row>
    <row r="19" spans="5:28" s="102" customFormat="1" ht="12">
      <c r="E19" s="101" t="s">
        <v>14</v>
      </c>
      <c r="F19" s="101"/>
      <c r="G19" s="101"/>
      <c r="H19" s="101"/>
      <c r="I19" s="101">
        <v>216.35</v>
      </c>
      <c r="J19" s="101">
        <v>153.02</v>
      </c>
      <c r="K19" s="101">
        <v>121.36</v>
      </c>
      <c r="L19" s="101">
        <v>94.27</v>
      </c>
      <c r="M19" s="101">
        <v>100.17</v>
      </c>
      <c r="N19" s="101"/>
      <c r="O19" s="101">
        <v>31.74</v>
      </c>
      <c r="P19" s="101"/>
      <c r="Q19" s="101"/>
      <c r="R19" s="101">
        <f>F19+G19+H19+I19+J19+K19+L19+M19+N19+O19+P19+Q19</f>
        <v>716.91</v>
      </c>
      <c r="AB19" s="103"/>
    </row>
    <row r="20" spans="5:28" s="102" customFormat="1" ht="12">
      <c r="E20" s="99" t="s">
        <v>30</v>
      </c>
      <c r="F20" s="101"/>
      <c r="G20" s="101">
        <v>151.63</v>
      </c>
      <c r="H20" s="101">
        <v>1659.91</v>
      </c>
      <c r="I20" s="101">
        <v>133.55</v>
      </c>
      <c r="J20" s="101">
        <v>35.97</v>
      </c>
      <c r="K20" s="101">
        <v>106.61</v>
      </c>
      <c r="L20" s="101">
        <v>376.19</v>
      </c>
      <c r="M20" s="101"/>
      <c r="N20" s="101"/>
      <c r="O20" s="101"/>
      <c r="P20" s="101"/>
      <c r="Q20" s="101"/>
      <c r="R20" s="101">
        <f>F20+G20+H20+I20+J20+K20+L20+M20+N20+O20+P20+Q20</f>
        <v>2463.86</v>
      </c>
      <c r="AB20" s="103"/>
    </row>
    <row r="21" spans="5:28" s="102" customFormat="1" ht="12">
      <c r="E21" s="99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AB21" s="103"/>
    </row>
    <row r="22" spans="5:18" s="103" customFormat="1" ht="12">
      <c r="E22" s="100" t="s">
        <v>16</v>
      </c>
      <c r="F22" s="100">
        <f aca="true" t="shared" si="2" ref="F22:R22">SUM(F18:F21)</f>
        <v>45673.45</v>
      </c>
      <c r="G22" s="100">
        <f t="shared" si="2"/>
        <v>39479.799999999996</v>
      </c>
      <c r="H22" s="100">
        <f t="shared" si="2"/>
        <v>70581.98000000001</v>
      </c>
      <c r="I22" s="100">
        <f t="shared" si="2"/>
        <v>53242.47</v>
      </c>
      <c r="J22" s="100">
        <f t="shared" si="2"/>
        <v>53005.1</v>
      </c>
      <c r="K22" s="100">
        <f t="shared" si="2"/>
        <v>57209.89</v>
      </c>
      <c r="L22" s="100">
        <f t="shared" si="2"/>
        <v>52256.34</v>
      </c>
      <c r="M22" s="100">
        <f t="shared" si="2"/>
        <v>64773.14</v>
      </c>
      <c r="N22" s="100">
        <f t="shared" si="2"/>
        <v>58807.32</v>
      </c>
      <c r="O22" s="100">
        <f t="shared" si="2"/>
        <v>53747.4</v>
      </c>
      <c r="P22" s="100">
        <f t="shared" si="2"/>
        <v>55613.58</v>
      </c>
      <c r="Q22" s="100">
        <f t="shared" si="2"/>
        <v>61287.94</v>
      </c>
      <c r="R22" s="100">
        <f t="shared" si="2"/>
        <v>665678.4099999999</v>
      </c>
    </row>
    <row r="23" spans="5:18" ht="12"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4"/>
    </row>
    <row r="24" spans="5:18" ht="12">
      <c r="E24" s="94" t="s">
        <v>19</v>
      </c>
      <c r="F24" s="104">
        <f aca="true" t="shared" si="3" ref="F24:R24">F22/F15</f>
        <v>0.818799558774414</v>
      </c>
      <c r="G24" s="104">
        <f t="shared" si="3"/>
        <v>0.7077644193837362</v>
      </c>
      <c r="H24" s="104">
        <f t="shared" si="3"/>
        <v>1.2653411135227255</v>
      </c>
      <c r="I24" s="104">
        <f t="shared" si="3"/>
        <v>0.9544913060883287</v>
      </c>
      <c r="J24" s="104">
        <f t="shared" si="3"/>
        <v>0.950235913704651</v>
      </c>
      <c r="K24" s="104">
        <f t="shared" si="3"/>
        <v>1.025616253852791</v>
      </c>
      <c r="L24" s="104">
        <f t="shared" si="3"/>
        <v>0.828538277470996</v>
      </c>
      <c r="M24" s="104">
        <f t="shared" si="3"/>
        <v>1.0269954964696661</v>
      </c>
      <c r="N24" s="104">
        <f t="shared" si="3"/>
        <v>0.9324058212933714</v>
      </c>
      <c r="O24" s="104">
        <f t="shared" si="3"/>
        <v>0.852179433434194</v>
      </c>
      <c r="P24" s="104">
        <f t="shared" si="3"/>
        <v>0.8817682175444249</v>
      </c>
      <c r="Q24" s="104">
        <f t="shared" si="3"/>
        <v>0.9717367162978838</v>
      </c>
      <c r="R24" s="105">
        <f t="shared" si="3"/>
        <v>0.9334875229323266</v>
      </c>
    </row>
    <row r="25" spans="5:18" ht="12">
      <c r="E25" s="9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6"/>
    </row>
    <row r="26" spans="5:18" ht="12">
      <c r="E26" s="94" t="s">
        <v>20</v>
      </c>
      <c r="F26" s="107">
        <f aca="true" t="shared" si="4" ref="F26:R26">F15-F22</f>
        <v>10107.54</v>
      </c>
      <c r="G26" s="107">
        <f t="shared" si="4"/>
        <v>16301.190000000002</v>
      </c>
      <c r="H26" s="107">
        <f t="shared" si="4"/>
        <v>-14800.990000000013</v>
      </c>
      <c r="I26" s="107">
        <f t="shared" si="4"/>
        <v>2538.519999999997</v>
      </c>
      <c r="J26" s="107">
        <f t="shared" si="4"/>
        <v>2775.8899999999994</v>
      </c>
      <c r="K26" s="107">
        <f t="shared" si="4"/>
        <v>-1428.9000000000015</v>
      </c>
      <c r="L26" s="107">
        <f t="shared" si="4"/>
        <v>10814.18</v>
      </c>
      <c r="M26" s="107">
        <f t="shared" si="4"/>
        <v>-1702.6200000000026</v>
      </c>
      <c r="N26" s="107">
        <f t="shared" si="4"/>
        <v>4263.199999999997</v>
      </c>
      <c r="O26" s="107">
        <f t="shared" si="4"/>
        <v>9323.119999999995</v>
      </c>
      <c r="P26" s="107">
        <f t="shared" si="4"/>
        <v>7456.939999999995</v>
      </c>
      <c r="Q26" s="107">
        <f t="shared" si="4"/>
        <v>1782.5799999999945</v>
      </c>
      <c r="R26" s="107">
        <f t="shared" si="4"/>
        <v>47430.65000000014</v>
      </c>
    </row>
    <row r="27" spans="5:18" ht="12"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4"/>
    </row>
    <row r="28" spans="5:28" s="109" customFormat="1" ht="12">
      <c r="E28" s="108" t="s">
        <v>21</v>
      </c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108"/>
      <c r="AB28" s="110"/>
    </row>
    <row r="29" spans="5:28" s="109" customFormat="1" ht="12"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108"/>
      <c r="AB29" s="110"/>
    </row>
    <row r="30" spans="5:28" s="109" customFormat="1" ht="12">
      <c r="E30" s="99" t="s">
        <v>22</v>
      </c>
      <c r="F30" s="99">
        <v>235.87</v>
      </c>
      <c r="G30" s="99">
        <v>186.04</v>
      </c>
      <c r="H30" s="99">
        <v>463.52</v>
      </c>
      <c r="I30" s="112">
        <f>255.1+52.42</f>
        <v>307.52</v>
      </c>
      <c r="J30" s="99">
        <v>1688.08</v>
      </c>
      <c r="K30" s="112">
        <f>197.09+207.25</f>
        <v>404.34000000000003</v>
      </c>
      <c r="L30" s="99">
        <v>269.36</v>
      </c>
      <c r="M30" s="99">
        <f>325.03-42.77+42.77</f>
        <v>325.03</v>
      </c>
      <c r="N30" s="99">
        <v>276.06</v>
      </c>
      <c r="O30" s="99">
        <f>343.01-218.15</f>
        <v>124.85999999999999</v>
      </c>
      <c r="P30" s="99">
        <v>163.12</v>
      </c>
      <c r="Q30" s="99">
        <v>362.76</v>
      </c>
      <c r="R30" s="99">
        <f>F30+G30+H30+I30+J30+K30+L30+M30+N30+O30+P30+Q30</f>
        <v>4806.56</v>
      </c>
      <c r="S30" s="170"/>
      <c r="AB30" s="110"/>
    </row>
    <row r="31" spans="5:28" s="109" customFormat="1" ht="12">
      <c r="E31" s="99" t="s">
        <v>185</v>
      </c>
      <c r="F31" s="99">
        <v>21017.74</v>
      </c>
      <c r="G31" s="99">
        <v>21017.74</v>
      </c>
      <c r="H31" s="99">
        <v>21017.74</v>
      </c>
      <c r="I31" s="112">
        <v>21017.74</v>
      </c>
      <c r="J31" s="99">
        <v>21017.74</v>
      </c>
      <c r="K31" s="112">
        <v>21017.74</v>
      </c>
      <c r="L31" s="99">
        <v>21017.74</v>
      </c>
      <c r="M31" s="99">
        <v>18726.27</v>
      </c>
      <c r="N31" s="99">
        <v>19074.25</v>
      </c>
      <c r="O31" s="99">
        <v>19074.25</v>
      </c>
      <c r="P31" s="99">
        <v>19074.25</v>
      </c>
      <c r="Q31" s="99">
        <v>19074.25</v>
      </c>
      <c r="R31" s="99">
        <f aca="true" t="shared" si="5" ref="R31:R87">F31+G31+H31+I31+J31+K31+L31+M31+N31+O31+P31+Q31</f>
        <v>242147.45</v>
      </c>
      <c r="S31" s="170"/>
      <c r="AB31" s="110"/>
    </row>
    <row r="32" spans="5:28" s="109" customFormat="1" ht="12">
      <c r="E32" s="99" t="s">
        <v>31</v>
      </c>
      <c r="F32" s="99">
        <f>2732.7+2247.13</f>
        <v>4979.83</v>
      </c>
      <c r="G32" s="99">
        <f>4352.83+2732.7</f>
        <v>7085.53</v>
      </c>
      <c r="H32" s="99">
        <f>2732.7+3000+1226.72</f>
        <v>6959.42</v>
      </c>
      <c r="I32" s="112">
        <f>3000+1567.04</f>
        <v>4567.04</v>
      </c>
      <c r="J32" s="99">
        <f>3000+1567.04</f>
        <v>4567.04</v>
      </c>
      <c r="K32" s="112">
        <f>3000+1567.04</f>
        <v>4567.04</v>
      </c>
      <c r="L32" s="99">
        <v>5303.33</v>
      </c>
      <c r="M32" s="99">
        <v>4055.94</v>
      </c>
      <c r="N32" s="99">
        <v>4055.94</v>
      </c>
      <c r="O32" s="99">
        <v>4055.94</v>
      </c>
      <c r="P32" s="99">
        <v>4055.94</v>
      </c>
      <c r="Q32" s="99">
        <v>4055.94</v>
      </c>
      <c r="R32" s="99">
        <f>F32+G32+H32+I32+J32+K32+L32+M32+N32+O32+P32+Q32+2072.46</f>
        <v>60381.390000000014</v>
      </c>
      <c r="S32" s="170"/>
      <c r="AB32" s="110"/>
    </row>
    <row r="33" spans="5:28" s="109" customFormat="1" ht="12">
      <c r="E33" s="99" t="s">
        <v>32</v>
      </c>
      <c r="F33" s="99">
        <v>5093.82</v>
      </c>
      <c r="G33" s="99">
        <f>10157.07</f>
        <v>10157.07</v>
      </c>
      <c r="H33" s="99">
        <f>5025.8+5131.27</f>
        <v>10157.07</v>
      </c>
      <c r="I33" s="112">
        <f>5850.5+4433</f>
        <v>10283.5</v>
      </c>
      <c r="J33" s="99">
        <f>5524.5+4433</f>
        <v>9957.5</v>
      </c>
      <c r="K33" s="112">
        <f>4973.9+5012.82</f>
        <v>9986.72</v>
      </c>
      <c r="L33" s="99">
        <v>9986.52</v>
      </c>
      <c r="M33" s="99">
        <f>7253.61</f>
        <v>7253.61</v>
      </c>
      <c r="N33" s="99">
        <f>2732.91+4352.17+5634.35</f>
        <v>12719.43</v>
      </c>
      <c r="O33" s="99">
        <f>7253.61+2732.91</f>
        <v>9986.52</v>
      </c>
      <c r="P33" s="99">
        <v>5841.6</v>
      </c>
      <c r="Q33" s="99">
        <f>5181.15+4144.9+4805.372</f>
        <v>14131.421999999999</v>
      </c>
      <c r="R33" s="99">
        <f t="shared" si="5"/>
        <v>115554.782</v>
      </c>
      <c r="S33" s="170"/>
      <c r="AB33" s="110"/>
    </row>
    <row r="34" spans="5:28" s="109" customFormat="1" ht="12">
      <c r="E34" s="99" t="s">
        <v>26</v>
      </c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>
        <f t="shared" si="5"/>
        <v>0</v>
      </c>
      <c r="AB34" s="110"/>
    </row>
    <row r="35" spans="5:28" s="109" customFormat="1" ht="12">
      <c r="E35" s="111" t="s">
        <v>33</v>
      </c>
      <c r="F35" s="99">
        <v>59.91</v>
      </c>
      <c r="G35" s="99">
        <v>59.91</v>
      </c>
      <c r="H35" s="99">
        <v>59.91</v>
      </c>
      <c r="I35" s="112">
        <v>59.91</v>
      </c>
      <c r="J35" s="99">
        <v>59.91</v>
      </c>
      <c r="K35" s="112">
        <v>59.91</v>
      </c>
      <c r="L35" s="99">
        <v>59.91</v>
      </c>
      <c r="M35" s="99">
        <v>59.91</v>
      </c>
      <c r="N35" s="99">
        <v>59.91</v>
      </c>
      <c r="O35" s="99">
        <v>59.91</v>
      </c>
      <c r="P35" s="99">
        <v>59.91</v>
      </c>
      <c r="Q35" s="99">
        <v>59.91</v>
      </c>
      <c r="R35" s="99">
        <f t="shared" si="5"/>
        <v>718.9199999999997</v>
      </c>
      <c r="AB35" s="110"/>
    </row>
    <row r="36" spans="5:28" s="109" customFormat="1" ht="12">
      <c r="E36" s="99" t="s">
        <v>34</v>
      </c>
      <c r="F36" s="99">
        <v>2500</v>
      </c>
      <c r="G36" s="99">
        <v>4500</v>
      </c>
      <c r="H36" s="99">
        <f>2250+2250</f>
        <v>4500</v>
      </c>
      <c r="I36" s="112">
        <f>2250+2250</f>
        <v>4500</v>
      </c>
      <c r="J36" s="99">
        <f>2250+2250</f>
        <v>4500</v>
      </c>
      <c r="K36" s="112">
        <f>2250+2250</f>
        <v>4500</v>
      </c>
      <c r="L36" s="99"/>
      <c r="M36" s="99"/>
      <c r="N36" s="99"/>
      <c r="O36" s="99">
        <v>4500</v>
      </c>
      <c r="P36" s="99">
        <v>2250</v>
      </c>
      <c r="Q36" s="99">
        <f>2250+2500</f>
        <v>4750</v>
      </c>
      <c r="R36" s="99">
        <f t="shared" si="5"/>
        <v>36500</v>
      </c>
      <c r="AB36" s="110"/>
    </row>
    <row r="37" spans="5:28" s="109" customFormat="1" ht="12">
      <c r="E37" s="99" t="s">
        <v>30</v>
      </c>
      <c r="F37" s="99"/>
      <c r="G37" s="99"/>
      <c r="H37" s="99"/>
      <c r="I37" s="112">
        <v>10050</v>
      </c>
      <c r="J37" s="99"/>
      <c r="K37" s="99"/>
      <c r="L37" s="99">
        <v>10050</v>
      </c>
      <c r="M37" s="99">
        <v>3350</v>
      </c>
      <c r="N37" s="99">
        <v>3350</v>
      </c>
      <c r="O37" s="99"/>
      <c r="P37" s="99">
        <f>3350+3350</f>
        <v>6700</v>
      </c>
      <c r="Q37" s="99"/>
      <c r="R37" s="99">
        <f t="shared" si="5"/>
        <v>33500</v>
      </c>
      <c r="AB37" s="110"/>
    </row>
    <row r="38" spans="5:28" s="109" customFormat="1" ht="12">
      <c r="E38" s="99" t="s">
        <v>36</v>
      </c>
      <c r="F38" s="99">
        <v>3470.53</v>
      </c>
      <c r="G38" s="99">
        <v>3470.53</v>
      </c>
      <c r="H38" s="171">
        <v>3470.53</v>
      </c>
      <c r="I38" s="171">
        <v>3470.53</v>
      </c>
      <c r="J38" s="99">
        <v>3470.53</v>
      </c>
      <c r="K38" s="112">
        <v>2042.5</v>
      </c>
      <c r="L38" s="99">
        <f>4124.86+1511.98</f>
        <v>5636.84</v>
      </c>
      <c r="M38" s="99">
        <f>2305.78+1383.37</f>
        <v>3689.15</v>
      </c>
      <c r="N38" s="99">
        <f>2286.12+1403.03</f>
        <v>3689.1499999999996</v>
      </c>
      <c r="O38" s="99">
        <f>2492.75+1196.39</f>
        <v>3689.1400000000003</v>
      </c>
      <c r="P38" s="99">
        <f>2418+1271.15</f>
        <v>3689.15</v>
      </c>
      <c r="Q38" s="99">
        <f>2571.68+1117.49</f>
        <v>3689.17</v>
      </c>
      <c r="R38" s="99">
        <f t="shared" si="5"/>
        <v>43477.75</v>
      </c>
      <c r="AB38" s="110"/>
    </row>
    <row r="39" spans="5:28" s="109" customFormat="1" ht="12">
      <c r="E39" s="99" t="s">
        <v>35</v>
      </c>
      <c r="F39" s="99">
        <v>792.48</v>
      </c>
      <c r="G39" s="99">
        <v>792.48</v>
      </c>
      <c r="H39" s="171">
        <v>792.48</v>
      </c>
      <c r="I39" s="171">
        <v>792.48</v>
      </c>
      <c r="J39" s="171">
        <v>792.48</v>
      </c>
      <c r="K39" s="99">
        <v>792.48</v>
      </c>
      <c r="L39" s="99">
        <v>956.45</v>
      </c>
      <c r="M39" s="99">
        <v>956.45</v>
      </c>
      <c r="N39" s="99">
        <v>956.45</v>
      </c>
      <c r="O39" s="99">
        <v>956.45</v>
      </c>
      <c r="P39" s="99">
        <v>956.45</v>
      </c>
      <c r="Q39" s="99">
        <v>956.45</v>
      </c>
      <c r="R39" s="99">
        <f t="shared" si="5"/>
        <v>10493.580000000002</v>
      </c>
      <c r="AB39" s="110"/>
    </row>
    <row r="40" spans="5:28" s="109" customFormat="1" ht="12">
      <c r="E40" s="99" t="s">
        <v>29</v>
      </c>
      <c r="F40" s="99">
        <v>97.68</v>
      </c>
      <c r="G40" s="99">
        <v>282.98</v>
      </c>
      <c r="H40" s="99">
        <v>83.29</v>
      </c>
      <c r="I40" s="112">
        <v>165.21</v>
      </c>
      <c r="J40" s="99"/>
      <c r="K40" s="112">
        <v>275.97</v>
      </c>
      <c r="L40" s="99">
        <v>100.59</v>
      </c>
      <c r="M40" s="99">
        <v>304.59</v>
      </c>
      <c r="N40" s="99">
        <v>159.41</v>
      </c>
      <c r="O40" s="99">
        <v>178.82</v>
      </c>
      <c r="P40" s="99">
        <v>178.82</v>
      </c>
      <c r="Q40" s="99">
        <v>101.94</v>
      </c>
      <c r="R40" s="99">
        <f t="shared" si="5"/>
        <v>1929.3000000000002</v>
      </c>
      <c r="AB40" s="110"/>
    </row>
    <row r="41" spans="5:28" s="109" customFormat="1" ht="12">
      <c r="E41" s="99" t="s">
        <v>39</v>
      </c>
      <c r="F41" s="99">
        <v>4435.39</v>
      </c>
      <c r="G41" s="99">
        <f>832.15+1609.57</f>
        <v>2441.72</v>
      </c>
      <c r="H41" s="99">
        <v>365.67</v>
      </c>
      <c r="I41" s="112">
        <v>3762.77</v>
      </c>
      <c r="J41" s="99">
        <v>3762.77</v>
      </c>
      <c r="K41" s="112">
        <v>3086.63</v>
      </c>
      <c r="L41" s="99">
        <v>1250</v>
      </c>
      <c r="M41" s="99">
        <v>2500</v>
      </c>
      <c r="N41" s="99">
        <v>1724.57</v>
      </c>
      <c r="O41" s="99">
        <v>2500</v>
      </c>
      <c r="P41" s="99">
        <v>3000</v>
      </c>
      <c r="Q41" s="99">
        <v>3000</v>
      </c>
      <c r="R41" s="99">
        <f t="shared" si="5"/>
        <v>31829.52</v>
      </c>
      <c r="AB41" s="110"/>
    </row>
    <row r="42" spans="5:28" s="109" customFormat="1" ht="12">
      <c r="E42" s="99" t="s">
        <v>40</v>
      </c>
      <c r="F42" s="99"/>
      <c r="G42" s="99"/>
      <c r="H42" s="99"/>
      <c r="I42" s="99"/>
      <c r="J42" s="99"/>
      <c r="K42" s="112">
        <v>1209.83</v>
      </c>
      <c r="L42" s="99">
        <v>1209.83</v>
      </c>
      <c r="M42" s="99">
        <v>1209.83</v>
      </c>
      <c r="N42" s="99"/>
      <c r="O42" s="99"/>
      <c r="P42" s="99"/>
      <c r="Q42" s="99"/>
      <c r="R42" s="99">
        <f t="shared" si="5"/>
        <v>3629.49</v>
      </c>
      <c r="AB42" s="110"/>
    </row>
    <row r="43" spans="5:28" s="109" customFormat="1" ht="12">
      <c r="E43" s="99" t="s">
        <v>41</v>
      </c>
      <c r="F43" s="99"/>
      <c r="G43" s="99"/>
      <c r="H43" s="99"/>
      <c r="I43" s="99"/>
      <c r="J43" s="99">
        <v>20495.25</v>
      </c>
      <c r="K43" s="112">
        <v>30</v>
      </c>
      <c r="L43" s="99"/>
      <c r="M43" s="99"/>
      <c r="N43" s="99"/>
      <c r="O43" s="99"/>
      <c r="P43" s="99"/>
      <c r="Q43" s="99"/>
      <c r="R43" s="99">
        <f t="shared" si="5"/>
        <v>20525.25</v>
      </c>
      <c r="AB43" s="110"/>
    </row>
    <row r="44" spans="5:28" s="109" customFormat="1" ht="12"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AB44" s="110"/>
    </row>
    <row r="45" spans="5:28" s="109" customFormat="1" ht="12">
      <c r="E45" s="108" t="s">
        <v>42</v>
      </c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AB45" s="110"/>
    </row>
    <row r="46" spans="5:28" s="109" customFormat="1" ht="12">
      <c r="E46" s="99" t="s">
        <v>45</v>
      </c>
      <c r="F46" s="99">
        <v>263.26</v>
      </c>
      <c r="G46" s="99">
        <v>263.26</v>
      </c>
      <c r="H46" s="99">
        <v>263.26</v>
      </c>
      <c r="I46" s="112">
        <v>263.26</v>
      </c>
      <c r="J46" s="99">
        <v>263.26</v>
      </c>
      <c r="K46" s="112">
        <v>263.26</v>
      </c>
      <c r="L46" s="99">
        <v>263.26</v>
      </c>
      <c r="M46" s="99">
        <v>263.26</v>
      </c>
      <c r="N46" s="99">
        <v>263.26</v>
      </c>
      <c r="O46" s="99">
        <v>263.26</v>
      </c>
      <c r="P46" s="99">
        <v>263.26</v>
      </c>
      <c r="Q46" s="99">
        <v>263.26</v>
      </c>
      <c r="R46" s="99">
        <f t="shared" si="5"/>
        <v>3159.120000000001</v>
      </c>
      <c r="AB46" s="110"/>
    </row>
    <row r="47" spans="5:28" s="109" customFormat="1" ht="12">
      <c r="E47" s="99" t="s">
        <v>59</v>
      </c>
      <c r="F47" s="99">
        <v>1462.68</v>
      </c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>
        <f t="shared" si="5"/>
        <v>1462.68</v>
      </c>
      <c r="AB47" s="110"/>
    </row>
    <row r="48" spans="5:28" s="109" customFormat="1" ht="12">
      <c r="E48" s="99" t="s">
        <v>60</v>
      </c>
      <c r="F48" s="99">
        <v>1462.68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>
        <f t="shared" si="5"/>
        <v>1462.68</v>
      </c>
      <c r="AB48" s="110"/>
    </row>
    <row r="49" spans="5:28" s="109" customFormat="1" ht="12">
      <c r="E49" s="99" t="s">
        <v>126</v>
      </c>
      <c r="F49" s="99">
        <v>239.25</v>
      </c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>
        <f t="shared" si="5"/>
        <v>239.25</v>
      </c>
      <c r="AB49" s="110"/>
    </row>
    <row r="50" spans="5:28" s="109" customFormat="1" ht="12">
      <c r="E50" s="99" t="s">
        <v>46</v>
      </c>
      <c r="F50" s="99"/>
      <c r="G50" s="99">
        <f>925.06+58.82</f>
        <v>983.88</v>
      </c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>
        <f t="shared" si="5"/>
        <v>983.88</v>
      </c>
      <c r="AB50" s="110"/>
    </row>
    <row r="51" spans="5:28" s="109" customFormat="1" ht="12">
      <c r="E51" s="99" t="s">
        <v>61</v>
      </c>
      <c r="F51" s="99"/>
      <c r="G51" s="99">
        <v>3763.31</v>
      </c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>
        <f t="shared" si="5"/>
        <v>3763.31</v>
      </c>
      <c r="AB51" s="110"/>
    </row>
    <row r="52" spans="5:28" s="109" customFormat="1" ht="12">
      <c r="E52" s="99" t="s">
        <v>62</v>
      </c>
      <c r="F52" s="99"/>
      <c r="G52" s="99">
        <v>500</v>
      </c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>
        <f t="shared" si="5"/>
        <v>500</v>
      </c>
      <c r="AB52" s="110"/>
    </row>
    <row r="53" spans="5:28" s="109" customFormat="1" ht="12">
      <c r="E53" s="99" t="s">
        <v>56</v>
      </c>
      <c r="F53" s="99"/>
      <c r="G53" s="99">
        <v>500</v>
      </c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>
        <f t="shared" si="5"/>
        <v>500</v>
      </c>
      <c r="AB53" s="110"/>
    </row>
    <row r="54" spans="5:28" s="109" customFormat="1" ht="12">
      <c r="E54" s="99" t="s">
        <v>47</v>
      </c>
      <c r="F54" s="99"/>
      <c r="G54" s="99">
        <v>117.65</v>
      </c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>
        <f t="shared" si="5"/>
        <v>117.65</v>
      </c>
      <c r="AB54" s="110"/>
    </row>
    <row r="55" spans="5:28" s="109" customFormat="1" ht="12">
      <c r="E55" s="111" t="s">
        <v>48</v>
      </c>
      <c r="F55" s="99"/>
      <c r="G55" s="99"/>
      <c r="H55" s="99">
        <v>17.65</v>
      </c>
      <c r="I55" s="99"/>
      <c r="J55" s="99"/>
      <c r="K55" s="99"/>
      <c r="L55" s="99"/>
      <c r="M55" s="99"/>
      <c r="N55" s="99"/>
      <c r="O55" s="99"/>
      <c r="P55" s="99"/>
      <c r="Q55" s="99"/>
      <c r="R55" s="99">
        <f t="shared" si="5"/>
        <v>17.65</v>
      </c>
      <c r="AB55" s="110"/>
    </row>
    <row r="56" spans="5:28" s="109" customFormat="1" ht="12">
      <c r="E56" s="99" t="s">
        <v>50</v>
      </c>
      <c r="F56" s="99"/>
      <c r="G56" s="99"/>
      <c r="H56" s="112">
        <v>126.47</v>
      </c>
      <c r="I56" s="99"/>
      <c r="J56" s="99">
        <v>1280</v>
      </c>
      <c r="K56" s="112">
        <v>570</v>
      </c>
      <c r="L56" s="99"/>
      <c r="M56" s="99"/>
      <c r="N56" s="99"/>
      <c r="O56" s="99">
        <v>32.5</v>
      </c>
      <c r="P56" s="99"/>
      <c r="Q56" s="99"/>
      <c r="R56" s="99">
        <f t="shared" si="5"/>
        <v>2008.97</v>
      </c>
      <c r="AB56" s="110"/>
    </row>
    <row r="57" spans="5:28" s="109" customFormat="1" ht="12">
      <c r="E57" s="99" t="s">
        <v>51</v>
      </c>
      <c r="F57" s="99"/>
      <c r="G57" s="99"/>
      <c r="H57" s="99"/>
      <c r="I57" s="99"/>
      <c r="J57" s="99">
        <v>405.71</v>
      </c>
      <c r="K57" s="99">
        <f>116.92+58.46</f>
        <v>175.38</v>
      </c>
      <c r="L57" s="99">
        <v>183.89</v>
      </c>
      <c r="M57" s="99">
        <v>80.77</v>
      </c>
      <c r="N57" s="99"/>
      <c r="O57" s="99"/>
      <c r="P57" s="99"/>
      <c r="Q57" s="99"/>
      <c r="R57" s="99">
        <f t="shared" si="5"/>
        <v>845.7499999999999</v>
      </c>
      <c r="AB57" s="110"/>
    </row>
    <row r="58" spans="5:28" s="109" customFormat="1" ht="12">
      <c r="E58" s="99" t="s">
        <v>63</v>
      </c>
      <c r="F58" s="99"/>
      <c r="G58" s="99"/>
      <c r="H58" s="99"/>
      <c r="I58" s="99"/>
      <c r="J58" s="99"/>
      <c r="K58" s="112">
        <v>5000</v>
      </c>
      <c r="L58" s="99"/>
      <c r="M58" s="99"/>
      <c r="N58" s="99"/>
      <c r="O58" s="99"/>
      <c r="P58" s="99"/>
      <c r="Q58" s="99"/>
      <c r="R58" s="99">
        <f t="shared" si="5"/>
        <v>5000</v>
      </c>
      <c r="AB58" s="110"/>
    </row>
    <row r="59" spans="5:28" s="109" customFormat="1" ht="12">
      <c r="E59" s="99" t="s">
        <v>64</v>
      </c>
      <c r="F59" s="99"/>
      <c r="G59" s="99"/>
      <c r="H59" s="99"/>
      <c r="I59" s="99"/>
      <c r="J59" s="99"/>
      <c r="K59" s="112">
        <v>1050</v>
      </c>
      <c r="L59" s="99"/>
      <c r="M59" s="99"/>
      <c r="N59" s="99"/>
      <c r="O59" s="99"/>
      <c r="P59" s="99"/>
      <c r="Q59" s="99"/>
      <c r="R59" s="99">
        <f t="shared" si="5"/>
        <v>1050</v>
      </c>
      <c r="AB59" s="110"/>
    </row>
    <row r="60" spans="5:28" s="109" customFormat="1" ht="12">
      <c r="E60" s="99" t="s">
        <v>65</v>
      </c>
      <c r="F60" s="99"/>
      <c r="G60" s="99"/>
      <c r="H60" s="99"/>
      <c r="I60" s="99"/>
      <c r="J60" s="99"/>
      <c r="K60" s="112">
        <v>5900</v>
      </c>
      <c r="L60" s="99"/>
      <c r="M60" s="99"/>
      <c r="N60" s="99"/>
      <c r="O60" s="99"/>
      <c r="P60" s="99"/>
      <c r="Q60" s="99"/>
      <c r="R60" s="99">
        <f t="shared" si="5"/>
        <v>5900</v>
      </c>
      <c r="AB60" s="110"/>
    </row>
    <row r="61" spans="5:28" s="109" customFormat="1" ht="12">
      <c r="E61" s="99" t="s">
        <v>66</v>
      </c>
      <c r="F61" s="99"/>
      <c r="G61" s="99"/>
      <c r="H61" s="99"/>
      <c r="I61" s="99"/>
      <c r="J61" s="99"/>
      <c r="K61" s="112">
        <v>1068</v>
      </c>
      <c r="L61" s="99"/>
      <c r="M61" s="99"/>
      <c r="N61" s="99"/>
      <c r="O61" s="99"/>
      <c r="P61" s="99"/>
      <c r="Q61" s="99"/>
      <c r="R61" s="99">
        <f t="shared" si="5"/>
        <v>1068</v>
      </c>
      <c r="AB61" s="110"/>
    </row>
    <row r="62" spans="5:28" s="109" customFormat="1" ht="12">
      <c r="E62" s="99" t="s">
        <v>58</v>
      </c>
      <c r="F62" s="99"/>
      <c r="G62" s="99"/>
      <c r="H62" s="99"/>
      <c r="I62" s="99"/>
      <c r="J62" s="99"/>
      <c r="K62" s="112">
        <v>390</v>
      </c>
      <c r="L62" s="99"/>
      <c r="M62" s="99"/>
      <c r="N62" s="99"/>
      <c r="O62" s="99"/>
      <c r="P62" s="99"/>
      <c r="Q62" s="99"/>
      <c r="R62" s="99">
        <f t="shared" si="5"/>
        <v>390</v>
      </c>
      <c r="AB62" s="110"/>
    </row>
    <row r="63" spans="5:28" s="109" customFormat="1" ht="12">
      <c r="E63" s="99" t="s">
        <v>120</v>
      </c>
      <c r="F63" s="99"/>
      <c r="G63" s="99"/>
      <c r="H63" s="99"/>
      <c r="I63" s="99"/>
      <c r="J63" s="99"/>
      <c r="K63" s="99">
        <v>1073</v>
      </c>
      <c r="L63" s="99"/>
      <c r="M63" s="99"/>
      <c r="N63" s="99"/>
      <c r="O63" s="99"/>
      <c r="P63" s="99"/>
      <c r="Q63" s="99"/>
      <c r="R63" s="99">
        <f t="shared" si="5"/>
        <v>1073</v>
      </c>
      <c r="AB63" s="110"/>
    </row>
    <row r="64" spans="5:28" s="109" customFormat="1" ht="12">
      <c r="E64" s="99" t="s">
        <v>121</v>
      </c>
      <c r="F64" s="99"/>
      <c r="G64" s="99"/>
      <c r="H64" s="99"/>
      <c r="I64" s="99"/>
      <c r="J64" s="99"/>
      <c r="K64" s="99">
        <f>569+534.1</f>
        <v>1103.1</v>
      </c>
      <c r="L64" s="99"/>
      <c r="M64" s="99"/>
      <c r="N64" s="99"/>
      <c r="O64" s="99"/>
      <c r="P64" s="99"/>
      <c r="Q64" s="99"/>
      <c r="R64" s="99">
        <f t="shared" si="5"/>
        <v>1103.1</v>
      </c>
      <c r="AB64" s="110"/>
    </row>
    <row r="65" spans="5:28" s="109" customFormat="1" ht="12">
      <c r="E65" s="99" t="s">
        <v>122</v>
      </c>
      <c r="F65" s="99"/>
      <c r="G65" s="99"/>
      <c r="H65" s="99"/>
      <c r="I65" s="99"/>
      <c r="J65" s="99"/>
      <c r="K65" s="99">
        <v>644.58</v>
      </c>
      <c r="L65" s="99"/>
      <c r="M65" s="99"/>
      <c r="N65" s="99"/>
      <c r="O65" s="99"/>
      <c r="P65" s="99"/>
      <c r="Q65" s="99"/>
      <c r="R65" s="99">
        <f t="shared" si="5"/>
        <v>644.58</v>
      </c>
      <c r="AB65" s="110"/>
    </row>
    <row r="66" spans="5:28" s="109" customFormat="1" ht="12">
      <c r="E66" s="99" t="s">
        <v>130</v>
      </c>
      <c r="F66" s="99"/>
      <c r="G66" s="99"/>
      <c r="H66" s="99"/>
      <c r="I66" s="99"/>
      <c r="J66" s="99"/>
      <c r="K66" s="99"/>
      <c r="L66" s="99">
        <v>161.76</v>
      </c>
      <c r="M66" s="99"/>
      <c r="N66" s="99"/>
      <c r="O66" s="99"/>
      <c r="P66" s="99"/>
      <c r="Q66" s="99"/>
      <c r="R66" s="99">
        <f t="shared" si="5"/>
        <v>161.76</v>
      </c>
      <c r="AB66" s="110"/>
    </row>
    <row r="67" spans="5:28" s="109" customFormat="1" ht="12">
      <c r="E67" s="99" t="s">
        <v>131</v>
      </c>
      <c r="F67" s="99"/>
      <c r="G67" s="99"/>
      <c r="H67" s="99"/>
      <c r="I67" s="99"/>
      <c r="J67" s="99"/>
      <c r="K67" s="99"/>
      <c r="L67" s="99">
        <v>75</v>
      </c>
      <c r="M67" s="99"/>
      <c r="N67" s="99"/>
      <c r="O67" s="99"/>
      <c r="P67" s="99"/>
      <c r="Q67" s="99"/>
      <c r="R67" s="99">
        <f t="shared" si="5"/>
        <v>75</v>
      </c>
      <c r="AB67" s="110"/>
    </row>
    <row r="68" spans="5:28" s="109" customFormat="1" ht="12">
      <c r="E68" s="99" t="s">
        <v>132</v>
      </c>
      <c r="F68" s="99"/>
      <c r="G68" s="99"/>
      <c r="H68" s="99"/>
      <c r="I68" s="99"/>
      <c r="J68" s="99"/>
      <c r="K68" s="99"/>
      <c r="L68" s="99">
        <v>116</v>
      </c>
      <c r="M68" s="99">
        <v>25</v>
      </c>
      <c r="N68" s="99"/>
      <c r="O68" s="99"/>
      <c r="P68" s="99"/>
      <c r="Q68" s="99"/>
      <c r="R68" s="99">
        <f t="shared" si="5"/>
        <v>141</v>
      </c>
      <c r="AB68" s="110"/>
    </row>
    <row r="69" spans="5:28" s="109" customFormat="1" ht="12">
      <c r="E69" s="99" t="s">
        <v>224</v>
      </c>
      <c r="F69" s="99"/>
      <c r="G69" s="99"/>
      <c r="H69" s="99"/>
      <c r="I69" s="99"/>
      <c r="J69" s="99"/>
      <c r="K69" s="99"/>
      <c r="L69" s="99">
        <v>717.95</v>
      </c>
      <c r="M69" s="99"/>
      <c r="N69" s="99"/>
      <c r="O69" s="99"/>
      <c r="P69" s="99"/>
      <c r="Q69" s="99"/>
      <c r="R69" s="99">
        <f t="shared" si="5"/>
        <v>717.95</v>
      </c>
      <c r="AB69" s="110"/>
    </row>
    <row r="70" spans="5:28" s="109" customFormat="1" ht="12">
      <c r="E70" s="99" t="s">
        <v>133</v>
      </c>
      <c r="F70" s="99"/>
      <c r="G70" s="99"/>
      <c r="H70" s="99"/>
      <c r="I70" s="99"/>
      <c r="J70" s="99"/>
      <c r="K70" s="99"/>
      <c r="L70" s="99">
        <v>2000</v>
      </c>
      <c r="M70" s="99"/>
      <c r="N70" s="99"/>
      <c r="O70" s="99"/>
      <c r="P70" s="99"/>
      <c r="Q70" s="99"/>
      <c r="R70" s="99">
        <f t="shared" si="5"/>
        <v>2000</v>
      </c>
      <c r="AB70" s="110"/>
    </row>
    <row r="71" spans="5:28" s="109" customFormat="1" ht="12">
      <c r="E71" s="99" t="s">
        <v>142</v>
      </c>
      <c r="F71" s="99"/>
      <c r="G71" s="99"/>
      <c r="H71" s="99"/>
      <c r="I71" s="99"/>
      <c r="J71" s="99"/>
      <c r="K71" s="99"/>
      <c r="L71" s="99"/>
      <c r="M71" s="99">
        <v>5000</v>
      </c>
      <c r="N71" s="99"/>
      <c r="O71" s="99"/>
      <c r="P71" s="99"/>
      <c r="Q71" s="99"/>
      <c r="R71" s="99">
        <f t="shared" si="5"/>
        <v>5000</v>
      </c>
      <c r="AB71" s="110"/>
    </row>
    <row r="72" spans="5:28" s="109" customFormat="1" ht="12">
      <c r="E72" s="111" t="s">
        <v>139</v>
      </c>
      <c r="F72" s="99"/>
      <c r="G72" s="99"/>
      <c r="H72" s="99"/>
      <c r="I72" s="99"/>
      <c r="J72" s="99"/>
      <c r="K72" s="99"/>
      <c r="L72" s="99"/>
      <c r="M72" s="99">
        <v>46.63</v>
      </c>
      <c r="N72" s="99"/>
      <c r="O72" s="99"/>
      <c r="P72" s="99"/>
      <c r="Q72" s="99"/>
      <c r="R72" s="99">
        <f t="shared" si="5"/>
        <v>46.63</v>
      </c>
      <c r="AB72" s="110"/>
    </row>
    <row r="73" spans="5:28" s="109" customFormat="1" ht="12" hidden="1">
      <c r="E73" s="99" t="s">
        <v>140</v>
      </c>
      <c r="F73" s="99"/>
      <c r="G73" s="99"/>
      <c r="H73" s="99"/>
      <c r="I73" s="99"/>
      <c r="J73" s="99"/>
      <c r="K73" s="99"/>
      <c r="L73" s="99"/>
      <c r="M73" s="99">
        <v>2072.46</v>
      </c>
      <c r="N73" s="99"/>
      <c r="O73" s="99"/>
      <c r="P73" s="99"/>
      <c r="Q73" s="99"/>
      <c r="R73" s="99"/>
      <c r="AB73" s="110"/>
    </row>
    <row r="74" spans="5:28" s="109" customFormat="1" ht="12">
      <c r="E74" s="99" t="s">
        <v>225</v>
      </c>
      <c r="F74" s="99"/>
      <c r="G74" s="99"/>
      <c r="H74" s="99"/>
      <c r="I74" s="99"/>
      <c r="J74" s="99"/>
      <c r="K74" s="99"/>
      <c r="L74" s="99"/>
      <c r="M74" s="99">
        <v>310.87</v>
      </c>
      <c r="N74" s="99"/>
      <c r="O74" s="99">
        <v>346.91</v>
      </c>
      <c r="P74" s="99">
        <v>346.91</v>
      </c>
      <c r="Q74" s="99">
        <v>462.55</v>
      </c>
      <c r="R74" s="99">
        <f t="shared" si="5"/>
        <v>1467.24</v>
      </c>
      <c r="AB74" s="110"/>
    </row>
    <row r="75" spans="5:28" s="109" customFormat="1" ht="12">
      <c r="E75" s="99" t="s">
        <v>156</v>
      </c>
      <c r="F75" s="99"/>
      <c r="G75" s="99"/>
      <c r="H75" s="99"/>
      <c r="I75" s="99"/>
      <c r="J75" s="99"/>
      <c r="K75" s="99"/>
      <c r="L75" s="99"/>
      <c r="M75" s="99">
        <v>40.41</v>
      </c>
      <c r="N75" s="99"/>
      <c r="O75" s="99"/>
      <c r="P75" s="99"/>
      <c r="Q75" s="99"/>
      <c r="R75" s="99">
        <f t="shared" si="5"/>
        <v>40.41</v>
      </c>
      <c r="AB75" s="110"/>
    </row>
    <row r="76" spans="5:28" s="109" customFormat="1" ht="12">
      <c r="E76" s="99" t="s">
        <v>157</v>
      </c>
      <c r="F76" s="99"/>
      <c r="G76" s="99"/>
      <c r="H76" s="99"/>
      <c r="I76" s="99"/>
      <c r="J76" s="99"/>
      <c r="K76" s="99"/>
      <c r="L76" s="99"/>
      <c r="M76" s="99"/>
      <c r="N76" s="99">
        <v>160.75</v>
      </c>
      <c r="O76" s="99"/>
      <c r="P76" s="99"/>
      <c r="Q76" s="99"/>
      <c r="R76" s="99">
        <f t="shared" si="5"/>
        <v>160.75</v>
      </c>
      <c r="AB76" s="110"/>
    </row>
    <row r="77" spans="5:28" s="109" customFormat="1" ht="12">
      <c r="E77" s="99" t="s">
        <v>158</v>
      </c>
      <c r="F77" s="99"/>
      <c r="G77" s="99"/>
      <c r="H77" s="99"/>
      <c r="I77" s="99"/>
      <c r="J77" s="99"/>
      <c r="K77" s="99"/>
      <c r="L77" s="99"/>
      <c r="M77" s="99"/>
      <c r="N77" s="99">
        <v>18242.5</v>
      </c>
      <c r="O77" s="99"/>
      <c r="P77" s="99"/>
      <c r="Q77" s="99"/>
      <c r="R77" s="99">
        <f t="shared" si="5"/>
        <v>18242.5</v>
      </c>
      <c r="AB77" s="110"/>
    </row>
    <row r="78" spans="5:28" s="109" customFormat="1" ht="12">
      <c r="E78" s="99" t="s">
        <v>217</v>
      </c>
      <c r="F78" s="99"/>
      <c r="G78" s="99"/>
      <c r="H78" s="99"/>
      <c r="I78" s="99"/>
      <c r="J78" s="99"/>
      <c r="K78" s="99"/>
      <c r="L78" s="99"/>
      <c r="M78" s="99"/>
      <c r="N78" s="99">
        <v>17.5</v>
      </c>
      <c r="O78" s="99"/>
      <c r="P78" s="99"/>
      <c r="Q78" s="99"/>
      <c r="R78" s="99">
        <f t="shared" si="5"/>
        <v>17.5</v>
      </c>
      <c r="AB78" s="110"/>
    </row>
    <row r="79" spans="5:28" s="109" customFormat="1" ht="12">
      <c r="E79" s="99" t="s">
        <v>226</v>
      </c>
      <c r="F79" s="99"/>
      <c r="G79" s="99"/>
      <c r="H79" s="99"/>
      <c r="I79" s="99"/>
      <c r="J79" s="99"/>
      <c r="K79" s="99"/>
      <c r="L79" s="99"/>
      <c r="M79" s="99"/>
      <c r="N79" s="99">
        <v>32000</v>
      </c>
      <c r="O79" s="99"/>
      <c r="P79" s="99"/>
      <c r="Q79" s="99"/>
      <c r="R79" s="99">
        <f t="shared" si="5"/>
        <v>32000</v>
      </c>
      <c r="AB79" s="110"/>
    </row>
    <row r="80" spans="5:28" s="109" customFormat="1" ht="12">
      <c r="E80" s="99" t="s">
        <v>227</v>
      </c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>
        <v>3000</v>
      </c>
      <c r="Q80" s="99"/>
      <c r="R80" s="99">
        <f t="shared" si="5"/>
        <v>3000</v>
      </c>
      <c r="AB80" s="110"/>
    </row>
    <row r="81" spans="5:28" s="109" customFormat="1" ht="12">
      <c r="E81" s="99" t="s">
        <v>228</v>
      </c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>
        <v>427.86</v>
      </c>
      <c r="Q81" s="99"/>
      <c r="R81" s="99">
        <f t="shared" si="5"/>
        <v>427.86</v>
      </c>
      <c r="AB81" s="110"/>
    </row>
    <row r="82" spans="5:28" s="109" customFormat="1" ht="12">
      <c r="E82" s="99" t="s">
        <v>148</v>
      </c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>
        <v>1200</v>
      </c>
      <c r="Q82" s="99"/>
      <c r="R82" s="99">
        <f t="shared" si="5"/>
        <v>1200</v>
      </c>
      <c r="AB82" s="110"/>
    </row>
    <row r="83" spans="5:28" s="109" customFormat="1" ht="12">
      <c r="E83" s="99" t="s">
        <v>167</v>
      </c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>
        <v>10.35</v>
      </c>
      <c r="Q83" s="99"/>
      <c r="R83" s="99">
        <f t="shared" si="5"/>
        <v>10.35</v>
      </c>
      <c r="AB83" s="110"/>
    </row>
    <row r="84" spans="5:28" s="109" customFormat="1" ht="12">
      <c r="E84" s="99" t="s">
        <v>201</v>
      </c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>
        <v>2700</v>
      </c>
      <c r="Q84" s="99"/>
      <c r="R84" s="99">
        <f t="shared" si="5"/>
        <v>2700</v>
      </c>
      <c r="AB84" s="110"/>
    </row>
    <row r="85" spans="5:28" s="109" customFormat="1" ht="12">
      <c r="E85" s="99" t="s">
        <v>229</v>
      </c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>
        <v>4500</v>
      </c>
      <c r="R85" s="99">
        <f t="shared" si="5"/>
        <v>4500</v>
      </c>
      <c r="AB85" s="110"/>
    </row>
    <row r="86" spans="5:28" s="109" customFormat="1" ht="12">
      <c r="E86" s="99" t="s">
        <v>168</v>
      </c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>
        <v>103.62</v>
      </c>
      <c r="R86" s="99">
        <f t="shared" si="5"/>
        <v>103.62</v>
      </c>
      <c r="AB86" s="110"/>
    </row>
    <row r="87" spans="5:28" s="109" customFormat="1" ht="12"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>
        <f t="shared" si="5"/>
        <v>0</v>
      </c>
      <c r="AB87" s="110"/>
    </row>
    <row r="88" spans="5:28" s="109" customFormat="1" ht="12">
      <c r="E88" s="172" t="s">
        <v>16</v>
      </c>
      <c r="F88" s="172">
        <f aca="true" t="shared" si="6" ref="F88:R88">SUM(F30:F87)</f>
        <v>46111.12</v>
      </c>
      <c r="G88" s="172">
        <f t="shared" si="6"/>
        <v>56122.10000000001</v>
      </c>
      <c r="H88" s="172">
        <f t="shared" si="6"/>
        <v>48277.01000000001</v>
      </c>
      <c r="I88" s="172">
        <f t="shared" si="6"/>
        <v>59239.96000000001</v>
      </c>
      <c r="J88" s="172">
        <f t="shared" si="6"/>
        <v>72260.27</v>
      </c>
      <c r="K88" s="172">
        <f t="shared" si="6"/>
        <v>65210.48000000001</v>
      </c>
      <c r="L88" s="172">
        <f t="shared" si="6"/>
        <v>59358.42999999999</v>
      </c>
      <c r="M88" s="172">
        <f t="shared" si="6"/>
        <v>50270.17999999999</v>
      </c>
      <c r="N88" s="172">
        <f t="shared" si="6"/>
        <v>96749.18000000001</v>
      </c>
      <c r="O88" s="172">
        <f t="shared" si="6"/>
        <v>45768.560000000005</v>
      </c>
      <c r="P88" s="172">
        <f t="shared" si="6"/>
        <v>53917.619999999995</v>
      </c>
      <c r="Q88" s="173">
        <f t="shared" si="6"/>
        <v>55511.272000000004</v>
      </c>
      <c r="R88" s="173">
        <f t="shared" si="6"/>
        <v>708796.182</v>
      </c>
      <c r="AB88" s="110"/>
    </row>
    <row r="89" spans="5:18" ht="12">
      <c r="E89" s="200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1"/>
      <c r="Q89" s="201"/>
      <c r="R89" s="202"/>
    </row>
    <row r="90" spans="5:18" ht="12">
      <c r="E90" s="174" t="s">
        <v>149</v>
      </c>
      <c r="F90" s="175">
        <f aca="true" t="shared" si="7" ref="F90:R90">F10+F22-F88</f>
        <v>57378.66999999999</v>
      </c>
      <c r="G90" s="175">
        <f t="shared" si="7"/>
        <v>40736.36999999997</v>
      </c>
      <c r="H90" s="176">
        <f t="shared" si="7"/>
        <v>63041.33999999997</v>
      </c>
      <c r="I90" s="175">
        <f t="shared" si="7"/>
        <v>57043.84999999996</v>
      </c>
      <c r="J90" s="175">
        <f t="shared" si="7"/>
        <v>37788.67999999995</v>
      </c>
      <c r="K90" s="175">
        <f t="shared" si="7"/>
        <v>29788.08999999994</v>
      </c>
      <c r="L90" s="175">
        <f t="shared" si="7"/>
        <v>22685.99999999994</v>
      </c>
      <c r="M90" s="175">
        <f t="shared" si="7"/>
        <v>37188.95999999995</v>
      </c>
      <c r="N90" s="175">
        <f t="shared" si="7"/>
        <v>-752.9000000000669</v>
      </c>
      <c r="O90" s="175">
        <f t="shared" si="7"/>
        <v>7225.93999999993</v>
      </c>
      <c r="P90" s="175">
        <f t="shared" si="7"/>
        <v>8921.899999999936</v>
      </c>
      <c r="Q90" s="177">
        <f t="shared" si="7"/>
        <v>14698.567999999934</v>
      </c>
      <c r="R90" s="178">
        <f t="shared" si="7"/>
        <v>14698.567999999854</v>
      </c>
    </row>
    <row r="91" spans="5:18" ht="12">
      <c r="E91" s="93"/>
      <c r="F91" s="93"/>
      <c r="G91" s="93"/>
      <c r="H91" s="179"/>
      <c r="I91" s="93"/>
      <c r="J91" s="93"/>
      <c r="K91" s="93"/>
      <c r="L91" s="93"/>
      <c r="M91" s="93"/>
      <c r="N91" s="93"/>
      <c r="O91" s="93"/>
      <c r="P91" s="93"/>
      <c r="Q91" s="180"/>
      <c r="R91" s="94"/>
    </row>
    <row r="92" spans="5:18" ht="12" hidden="1">
      <c r="E92" s="181"/>
      <c r="F92" s="93"/>
      <c r="G92" s="93"/>
      <c r="H92" s="179"/>
      <c r="I92" s="93"/>
      <c r="J92" s="93"/>
      <c r="K92" s="93"/>
      <c r="L92" s="93"/>
      <c r="M92" s="93"/>
      <c r="N92" s="93"/>
      <c r="O92" s="93"/>
      <c r="P92" s="93"/>
      <c r="Q92" s="180"/>
      <c r="R92" s="182"/>
    </row>
    <row r="93" spans="6:18" s="87" customFormat="1" ht="12">
      <c r="F93" s="94"/>
      <c r="G93" s="94"/>
      <c r="H93" s="183"/>
      <c r="I93" s="94"/>
      <c r="J93" s="94"/>
      <c r="K93" s="94"/>
      <c r="L93" s="94"/>
      <c r="M93" s="94"/>
      <c r="N93" s="94"/>
      <c r="O93" s="94"/>
      <c r="P93" s="94"/>
      <c r="Q93" s="184"/>
      <c r="R93" s="117"/>
    </row>
    <row r="94" spans="5:18" s="87" customFormat="1" ht="12"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ht="12">
      <c r="E95" s="86" t="s">
        <v>24</v>
      </c>
    </row>
    <row r="96" ht="12">
      <c r="E96" s="86" t="s">
        <v>25</v>
      </c>
    </row>
  </sheetData>
  <sheetProtection selectLockedCells="1" selectUnlockedCells="1"/>
  <mergeCells count="4">
    <mergeCell ref="E1:R1"/>
    <mergeCell ref="E3:R3"/>
    <mergeCell ref="E2:R2"/>
    <mergeCell ref="E89:R89"/>
  </mergeCells>
  <printOptions/>
  <pageMargins left="0.35433070866141736" right="0.15748031496062992" top="1.062992125984252" bottom="0.15748031496062992" header="0.1968503937007874" footer="0.15748031496062992"/>
  <pageSetup horizontalDpi="300" verticalDpi="300" orientation="portrait" paperSize="9" scale="85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69"/>
  <sheetViews>
    <sheetView zoomScalePageLayoutView="0" workbookViewId="0" topLeftCell="A1">
      <pane xSplit="1" ySplit="4" topLeftCell="N3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38" sqref="P38"/>
    </sheetView>
  </sheetViews>
  <sheetFormatPr defaultColWidth="26.75390625" defaultRowHeight="12.75"/>
  <cols>
    <col min="1" max="1" width="42.875" style="86" customWidth="1"/>
    <col min="2" max="2" width="8.625" style="86" hidden="1" customWidth="1"/>
    <col min="3" max="4" width="9.375" style="86" hidden="1" customWidth="1"/>
    <col min="5" max="5" width="10.25390625" style="86" hidden="1" customWidth="1"/>
    <col min="6" max="6" width="9.125" style="86" hidden="1" customWidth="1"/>
    <col min="7" max="7" width="9.00390625" style="86" hidden="1" customWidth="1"/>
    <col min="8" max="8" width="8.875" style="86" hidden="1" customWidth="1"/>
    <col min="9" max="9" width="9.25390625" style="86" hidden="1" customWidth="1"/>
    <col min="10" max="10" width="11.25390625" style="86" hidden="1" customWidth="1"/>
    <col min="11" max="11" width="9.75390625" style="86" hidden="1" customWidth="1"/>
    <col min="12" max="12" width="8.75390625" style="86" hidden="1" customWidth="1"/>
    <col min="13" max="13" width="9.25390625" style="86" hidden="1" customWidth="1"/>
    <col min="14" max="14" width="9.25390625" style="87" customWidth="1"/>
    <col min="15" max="15" width="7.625" style="86" customWidth="1"/>
    <col min="16" max="23" width="26.75390625" style="86" customWidth="1"/>
    <col min="24" max="24" width="26.75390625" style="87" customWidth="1"/>
    <col min="25" max="16384" width="26.75390625" style="86" customWidth="1"/>
  </cols>
  <sheetData>
    <row r="1" spans="1:15" ht="12">
      <c r="A1" s="194" t="s">
        <v>151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85"/>
    </row>
    <row r="2" spans="1:15" ht="12">
      <c r="A2" s="194" t="s">
        <v>152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85"/>
    </row>
    <row r="3" spans="1:14" ht="12">
      <c r="A3" s="195" t="s">
        <v>93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</row>
    <row r="4" spans="1:14" ht="24">
      <c r="A4" s="160" t="s">
        <v>94</v>
      </c>
      <c r="B4" s="93" t="s">
        <v>0</v>
      </c>
      <c r="C4" s="93" t="s">
        <v>1</v>
      </c>
      <c r="D4" s="93" t="s">
        <v>2</v>
      </c>
      <c r="E4" s="93" t="s">
        <v>3</v>
      </c>
      <c r="F4" s="93" t="s">
        <v>4</v>
      </c>
      <c r="G4" s="93" t="s">
        <v>5</v>
      </c>
      <c r="H4" s="93" t="s">
        <v>6</v>
      </c>
      <c r="I4" s="93" t="s">
        <v>7</v>
      </c>
      <c r="J4" s="93" t="s">
        <v>8</v>
      </c>
      <c r="K4" s="93" t="s">
        <v>9</v>
      </c>
      <c r="L4" s="93" t="s">
        <v>10</v>
      </c>
      <c r="M4" s="93" t="s">
        <v>11</v>
      </c>
      <c r="N4" s="92" t="s">
        <v>150</v>
      </c>
    </row>
    <row r="5" spans="1:14" ht="12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4"/>
    </row>
    <row r="6" spans="1:14" ht="12">
      <c r="A6" s="94" t="s">
        <v>43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4"/>
    </row>
    <row r="7" spans="1:14" ht="12">
      <c r="A7" s="93" t="s">
        <v>13</v>
      </c>
      <c r="B7" s="93">
        <v>13028.17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>
        <f>B7+C7+D7+E7+F7+G7+H7+I7+J7+K7+L7+M7</f>
        <v>13028.17</v>
      </c>
    </row>
    <row r="8" spans="1:14" ht="12">
      <c r="A8" s="93" t="s">
        <v>14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>
        <f>B8+C8+D8+E8+F8+G8+H8+I8+J8+K8+L8+M8</f>
        <v>0</v>
      </c>
    </row>
    <row r="9" spans="1:14" s="87" customFormat="1" ht="12">
      <c r="A9" s="94" t="s">
        <v>16</v>
      </c>
      <c r="B9" s="94" t="e">
        <f>B7+B8+#REF!</f>
        <v>#REF!</v>
      </c>
      <c r="C9" s="94" t="e">
        <f aca="true" t="shared" si="0" ref="C9:H9">B65</f>
        <v>#REF!</v>
      </c>
      <c r="D9" s="94" t="e">
        <f t="shared" si="0"/>
        <v>#REF!</v>
      </c>
      <c r="E9" s="94" t="e">
        <f t="shared" si="0"/>
        <v>#REF!</v>
      </c>
      <c r="F9" s="94" t="e">
        <f t="shared" si="0"/>
        <v>#REF!</v>
      </c>
      <c r="G9" s="94" t="e">
        <f t="shared" si="0"/>
        <v>#REF!</v>
      </c>
      <c r="H9" s="94" t="e">
        <f t="shared" si="0"/>
        <v>#REF!</v>
      </c>
      <c r="I9" s="94" t="e">
        <f>H65</f>
        <v>#REF!</v>
      </c>
      <c r="J9" s="94" t="e">
        <f>I65</f>
        <v>#REF!</v>
      </c>
      <c r="K9" s="94" t="e">
        <f>J65</f>
        <v>#REF!</v>
      </c>
      <c r="L9" s="94" t="e">
        <f>K65</f>
        <v>#REF!</v>
      </c>
      <c r="M9" s="94" t="e">
        <f>L65</f>
        <v>#REF!</v>
      </c>
      <c r="N9" s="94">
        <f>N7+N8</f>
        <v>13028.17</v>
      </c>
    </row>
    <row r="10" spans="1:14" ht="12">
      <c r="A10" s="93"/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4"/>
    </row>
    <row r="11" spans="1:24" s="97" customFormat="1" ht="12">
      <c r="A11" s="95" t="s">
        <v>17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5"/>
      <c r="X11" s="98"/>
    </row>
    <row r="12" spans="1:24" s="97" customFormat="1" ht="12">
      <c r="A12" s="96" t="s">
        <v>13</v>
      </c>
      <c r="B12" s="96">
        <v>6379.96</v>
      </c>
      <c r="C12" s="96">
        <v>6379.96</v>
      </c>
      <c r="D12" s="96">
        <v>6379.96</v>
      </c>
      <c r="E12" s="96">
        <v>6379.96</v>
      </c>
      <c r="F12" s="96">
        <v>6379.96</v>
      </c>
      <c r="G12" s="96">
        <v>6379.96</v>
      </c>
      <c r="H12" s="96">
        <v>7030.96</v>
      </c>
      <c r="I12" s="96">
        <v>7030.96</v>
      </c>
      <c r="J12" s="96">
        <v>7030.96</v>
      </c>
      <c r="K12" s="96">
        <v>7030.96</v>
      </c>
      <c r="L12" s="96">
        <v>7030.96</v>
      </c>
      <c r="M12" s="96">
        <v>7030.96</v>
      </c>
      <c r="N12" s="96">
        <f>B12+C12+D12+E12+F12+G12+H12+I12+J12+K12+L12+M12</f>
        <v>80465.52000000002</v>
      </c>
      <c r="X12" s="98"/>
    </row>
    <row r="13" spans="1:24" s="97" customFormat="1" ht="12">
      <c r="A13" s="96" t="s">
        <v>14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>
        <f>B13+C13+D13+E13+F13+G13+H13+I13+J13+K13+L13+M13</f>
        <v>0</v>
      </c>
      <c r="X13" s="98"/>
    </row>
    <row r="14" spans="1:14" s="98" customFormat="1" ht="12">
      <c r="A14" s="95" t="s">
        <v>16</v>
      </c>
      <c r="B14" s="95">
        <f aca="true" t="shared" si="1" ref="B14:M14">SUM(B11:B13)</f>
        <v>6379.96</v>
      </c>
      <c r="C14" s="95">
        <f t="shared" si="1"/>
        <v>6379.96</v>
      </c>
      <c r="D14" s="95">
        <f t="shared" si="1"/>
        <v>6379.96</v>
      </c>
      <c r="E14" s="95">
        <f t="shared" si="1"/>
        <v>6379.96</v>
      </c>
      <c r="F14" s="95">
        <f t="shared" si="1"/>
        <v>6379.96</v>
      </c>
      <c r="G14" s="95">
        <f t="shared" si="1"/>
        <v>6379.96</v>
      </c>
      <c r="H14" s="95">
        <f t="shared" si="1"/>
        <v>7030.96</v>
      </c>
      <c r="I14" s="95">
        <f t="shared" si="1"/>
        <v>7030.96</v>
      </c>
      <c r="J14" s="95">
        <f t="shared" si="1"/>
        <v>7030.96</v>
      </c>
      <c r="K14" s="95">
        <f t="shared" si="1"/>
        <v>7030.96</v>
      </c>
      <c r="L14" s="95">
        <f t="shared" si="1"/>
        <v>7030.96</v>
      </c>
      <c r="M14" s="95">
        <f t="shared" si="1"/>
        <v>7030.96</v>
      </c>
      <c r="N14" s="95">
        <f>B14+C14+D14+E14+F14+G14+H14+I14+J14+K14+L14+M14</f>
        <v>80465.52000000002</v>
      </c>
    </row>
    <row r="15" spans="1:14" ht="12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4"/>
    </row>
    <row r="16" spans="1:24" s="102" customFormat="1" ht="12">
      <c r="A16" s="100" t="s">
        <v>18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0"/>
      <c r="X16" s="103"/>
    </row>
    <row r="17" spans="1:24" s="102" customFormat="1" ht="12">
      <c r="A17" s="101" t="s">
        <v>13</v>
      </c>
      <c r="B17" s="101">
        <v>4476.53</v>
      </c>
      <c r="C17" s="101">
        <v>4850.57</v>
      </c>
      <c r="D17" s="101">
        <v>7151.09</v>
      </c>
      <c r="E17" s="101">
        <v>6034.13</v>
      </c>
      <c r="F17" s="101">
        <v>5839.53</v>
      </c>
      <c r="G17" s="101">
        <v>5985.36</v>
      </c>
      <c r="H17" s="101">
        <v>7851.1</v>
      </c>
      <c r="I17" s="101">
        <v>6257.86</v>
      </c>
      <c r="J17" s="101">
        <v>5913.65</v>
      </c>
      <c r="K17" s="101">
        <f>7963.62+375</f>
        <v>8338.619999999999</v>
      </c>
      <c r="L17" s="101">
        <v>5316.72</v>
      </c>
      <c r="M17" s="101">
        <v>7378.36</v>
      </c>
      <c r="N17" s="101">
        <f>B17+C17+D17+E17+F17+G17+H17+I17+J17+K17+L17+M17</f>
        <v>75393.52</v>
      </c>
      <c r="X17" s="103"/>
    </row>
    <row r="18" spans="1:24" s="102" customFormat="1" ht="12">
      <c r="A18" s="101" t="s">
        <v>14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>
        <f>B18+C18+D18+E18+F18+G18+H18+I18+J18+K18+L18+M18</f>
        <v>0</v>
      </c>
      <c r="X18" s="103"/>
    </row>
    <row r="19" spans="1:14" s="103" customFormat="1" ht="12">
      <c r="A19" s="100" t="s">
        <v>16</v>
      </c>
      <c r="B19" s="100">
        <f aca="true" t="shared" si="2" ref="B19:N19">SUM(B17:B18)</f>
        <v>4476.53</v>
      </c>
      <c r="C19" s="100">
        <f t="shared" si="2"/>
        <v>4850.57</v>
      </c>
      <c r="D19" s="100">
        <f t="shared" si="2"/>
        <v>7151.09</v>
      </c>
      <c r="E19" s="100">
        <f t="shared" si="2"/>
        <v>6034.13</v>
      </c>
      <c r="F19" s="100">
        <f t="shared" si="2"/>
        <v>5839.53</v>
      </c>
      <c r="G19" s="100">
        <f t="shared" si="2"/>
        <v>5985.36</v>
      </c>
      <c r="H19" s="100">
        <f t="shared" si="2"/>
        <v>7851.1</v>
      </c>
      <c r="I19" s="100">
        <f t="shared" si="2"/>
        <v>6257.86</v>
      </c>
      <c r="J19" s="100">
        <f t="shared" si="2"/>
        <v>5913.65</v>
      </c>
      <c r="K19" s="100">
        <f t="shared" si="2"/>
        <v>8338.619999999999</v>
      </c>
      <c r="L19" s="100">
        <f t="shared" si="2"/>
        <v>5316.72</v>
      </c>
      <c r="M19" s="100">
        <f t="shared" si="2"/>
        <v>7378.36</v>
      </c>
      <c r="N19" s="100">
        <f t="shared" si="2"/>
        <v>75393.52</v>
      </c>
    </row>
    <row r="20" spans="1:14" ht="12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4"/>
    </row>
    <row r="21" spans="1:14" ht="12">
      <c r="A21" s="94" t="s">
        <v>19</v>
      </c>
      <c r="B21" s="104">
        <f aca="true" t="shared" si="3" ref="B21:N21">B19/B14</f>
        <v>0.7016548693095254</v>
      </c>
      <c r="C21" s="104">
        <f t="shared" si="3"/>
        <v>0.7602821961266214</v>
      </c>
      <c r="D21" s="104">
        <f t="shared" si="3"/>
        <v>1.1208675289500247</v>
      </c>
      <c r="E21" s="104">
        <f t="shared" si="3"/>
        <v>0.9457943309989404</v>
      </c>
      <c r="F21" s="104">
        <f t="shared" si="3"/>
        <v>0.9152925723672248</v>
      </c>
      <c r="G21" s="104">
        <f t="shared" si="3"/>
        <v>0.9381500824456579</v>
      </c>
      <c r="H21" s="104">
        <f t="shared" si="3"/>
        <v>1.1166469443717502</v>
      </c>
      <c r="I21" s="104">
        <f t="shared" si="3"/>
        <v>0.8900434649037968</v>
      </c>
      <c r="J21" s="104">
        <f t="shared" si="3"/>
        <v>0.841087134616041</v>
      </c>
      <c r="K21" s="104">
        <f t="shared" si="3"/>
        <v>1.185985981999613</v>
      </c>
      <c r="L21" s="104">
        <f t="shared" si="3"/>
        <v>0.7561869218428209</v>
      </c>
      <c r="M21" s="104">
        <f t="shared" si="3"/>
        <v>1.0494100378895628</v>
      </c>
      <c r="N21" s="105">
        <f t="shared" si="3"/>
        <v>0.9369667902475494</v>
      </c>
    </row>
    <row r="22" spans="1:14" ht="12">
      <c r="A22" s="9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6"/>
    </row>
    <row r="23" spans="1:14" ht="12">
      <c r="A23" s="94" t="s">
        <v>20</v>
      </c>
      <c r="B23" s="107">
        <f aca="true" t="shared" si="4" ref="B23:N23">B14-B19</f>
        <v>1903.4300000000003</v>
      </c>
      <c r="C23" s="107">
        <f t="shared" si="4"/>
        <v>1529.3900000000003</v>
      </c>
      <c r="D23" s="107">
        <f t="shared" si="4"/>
        <v>-771.1300000000001</v>
      </c>
      <c r="E23" s="107">
        <f t="shared" si="4"/>
        <v>345.8299999999999</v>
      </c>
      <c r="F23" s="107">
        <f t="shared" si="4"/>
        <v>540.4300000000003</v>
      </c>
      <c r="G23" s="107">
        <f t="shared" si="4"/>
        <v>394.60000000000036</v>
      </c>
      <c r="H23" s="107">
        <f t="shared" si="4"/>
        <v>-820.1400000000003</v>
      </c>
      <c r="I23" s="107">
        <f t="shared" si="4"/>
        <v>773.1000000000004</v>
      </c>
      <c r="J23" s="107">
        <f t="shared" si="4"/>
        <v>1117.3100000000004</v>
      </c>
      <c r="K23" s="107">
        <f t="shared" si="4"/>
        <v>-1307.659999999999</v>
      </c>
      <c r="L23" s="107">
        <f t="shared" si="4"/>
        <v>1714.2399999999998</v>
      </c>
      <c r="M23" s="107">
        <f t="shared" si="4"/>
        <v>-347.39999999999964</v>
      </c>
      <c r="N23" s="107">
        <f t="shared" si="4"/>
        <v>5072.000000000015</v>
      </c>
    </row>
    <row r="24" spans="1:14" ht="12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4"/>
    </row>
    <row r="25" spans="1:24" s="109" customFormat="1" ht="12">
      <c r="A25" s="108" t="s">
        <v>21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108"/>
      <c r="X25" s="110"/>
    </row>
    <row r="26" spans="1:24" s="109" customFormat="1" ht="12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108"/>
      <c r="X26" s="110"/>
    </row>
    <row r="27" spans="1:24" s="109" customFormat="1" ht="12">
      <c r="A27" s="99" t="s">
        <v>22</v>
      </c>
      <c r="B27" s="99">
        <f>235.87+239.25</f>
        <v>475.12</v>
      </c>
      <c r="C27" s="99">
        <v>186.04</v>
      </c>
      <c r="D27" s="99">
        <v>463.54</v>
      </c>
      <c r="E27" s="99">
        <f>255.1+52.42</f>
        <v>307.52</v>
      </c>
      <c r="F27" s="99">
        <f>1688.1+405.71</f>
        <v>2093.81</v>
      </c>
      <c r="G27" s="99">
        <f>190.09+26.69</f>
        <v>216.78</v>
      </c>
      <c r="H27" s="99">
        <v>269.36</v>
      </c>
      <c r="I27" s="99">
        <v>274.95</v>
      </c>
      <c r="J27" s="99">
        <v>246.08</v>
      </c>
      <c r="K27" s="99">
        <f>346.62-2.8</f>
        <v>343.82</v>
      </c>
      <c r="L27" s="99">
        <v>111.11</v>
      </c>
      <c r="M27" s="99">
        <v>291.76</v>
      </c>
      <c r="N27" s="99">
        <f>B27+C27+D27+E27+F27+G27+H27+I27+J27+K27+L27+M27</f>
        <v>5279.889999999999</v>
      </c>
      <c r="X27" s="110"/>
    </row>
    <row r="28" spans="1:24" s="109" customFormat="1" ht="12">
      <c r="A28" s="99" t="s">
        <v>185</v>
      </c>
      <c r="B28" s="99">
        <v>2245.74</v>
      </c>
      <c r="C28" s="99">
        <v>2245.74</v>
      </c>
      <c r="D28" s="99">
        <v>2245.74</v>
      </c>
      <c r="E28" s="99">
        <v>2245.74</v>
      </c>
      <c r="F28" s="99">
        <v>2245.74</v>
      </c>
      <c r="G28" s="99">
        <v>2245.74</v>
      </c>
      <c r="H28" s="99">
        <v>2245.74</v>
      </c>
      <c r="I28" s="99">
        <v>2411.45</v>
      </c>
      <c r="J28" s="99">
        <v>2456.26</v>
      </c>
      <c r="K28" s="99">
        <v>2456.26</v>
      </c>
      <c r="L28" s="99">
        <v>2456.26</v>
      </c>
      <c r="M28" s="99">
        <v>2456.26</v>
      </c>
      <c r="N28" s="99">
        <f aca="true" t="shared" si="5" ref="N28:N62">B28+C28+D28+E28+F28+G28+H28+I28+J28+K28+L28+M28</f>
        <v>27956.670000000006</v>
      </c>
      <c r="X28" s="110"/>
    </row>
    <row r="29" spans="1:24" s="109" customFormat="1" ht="12">
      <c r="A29" s="99" t="s">
        <v>31</v>
      </c>
      <c r="B29" s="99">
        <f>351.9+289.37</f>
        <v>641.27</v>
      </c>
      <c r="C29" s="99">
        <f>351.9+560.53</f>
        <v>912.43</v>
      </c>
      <c r="D29" s="99">
        <f>351.9+544.29</f>
        <v>896.1899999999999</v>
      </c>
      <c r="E29" s="99">
        <v>201.79</v>
      </c>
      <c r="F29" s="99">
        <v>201.79</v>
      </c>
      <c r="G29" s="99">
        <v>201.79</v>
      </c>
      <c r="H29" s="99">
        <v>682.93</v>
      </c>
      <c r="I29" s="99">
        <v>522.3</v>
      </c>
      <c r="J29" s="99">
        <v>522.3</v>
      </c>
      <c r="K29" s="99">
        <v>522.3</v>
      </c>
      <c r="L29" s="99">
        <v>522.3</v>
      </c>
      <c r="M29" s="99"/>
      <c r="N29" s="99">
        <f>B29+C29+D29+E29+F29+G29+H29+I29+J29+K29+L29+M29+266.68</f>
        <v>6094.070000000001</v>
      </c>
      <c r="X29" s="110"/>
    </row>
    <row r="30" spans="1:24" s="109" customFormat="1" ht="12">
      <c r="A30" s="99" t="s">
        <v>32</v>
      </c>
      <c r="B30" s="99">
        <v>655.95</v>
      </c>
      <c r="C30" s="99">
        <v>1307.96</v>
      </c>
      <c r="D30" s="99">
        <f>647.19+660.77</f>
        <v>1307.96</v>
      </c>
      <c r="E30" s="99">
        <f>715.15+570.85</f>
        <v>1286</v>
      </c>
      <c r="F30" s="99">
        <f>711.41+570.85</f>
        <v>1282.26</v>
      </c>
      <c r="G30" s="99">
        <f>640.51+645.49</f>
        <v>1286</v>
      </c>
      <c r="H30" s="99">
        <v>1286</v>
      </c>
      <c r="I30" s="99">
        <v>934.07</v>
      </c>
      <c r="J30" s="99">
        <f>351.93+560.44+725.56</f>
        <v>1637.93</v>
      </c>
      <c r="K30" s="99">
        <f>934.07+351.93</f>
        <v>1286</v>
      </c>
      <c r="L30" s="99">
        <v>752.24</v>
      </c>
      <c r="M30" s="99">
        <f>667.2+533.76+618.81+522.3</f>
        <v>2342.0699999999997</v>
      </c>
      <c r="N30" s="99">
        <f t="shared" si="5"/>
        <v>15364.44</v>
      </c>
      <c r="X30" s="110"/>
    </row>
    <row r="31" spans="1:24" s="109" customFormat="1" ht="12">
      <c r="A31" s="111" t="s">
        <v>33</v>
      </c>
      <c r="B31" s="99">
        <v>7.72</v>
      </c>
      <c r="C31" s="99">
        <v>7.72</v>
      </c>
      <c r="D31" s="99">
        <v>7.72</v>
      </c>
      <c r="E31" s="99">
        <v>7.72</v>
      </c>
      <c r="F31" s="99">
        <v>7.72</v>
      </c>
      <c r="G31" s="99">
        <v>7.72</v>
      </c>
      <c r="H31" s="99">
        <v>7.72</v>
      </c>
      <c r="I31" s="99">
        <v>7.72</v>
      </c>
      <c r="J31" s="99">
        <v>7.72</v>
      </c>
      <c r="K31" s="99">
        <v>7.72</v>
      </c>
      <c r="L31" s="99">
        <v>7.72</v>
      </c>
      <c r="M31" s="99">
        <v>7.72</v>
      </c>
      <c r="N31" s="99">
        <f t="shared" si="5"/>
        <v>92.64</v>
      </c>
      <c r="X31" s="110"/>
    </row>
    <row r="32" spans="1:24" s="109" customFormat="1" ht="12">
      <c r="A32" s="99" t="s">
        <v>36</v>
      </c>
      <c r="B32" s="99">
        <v>446.91</v>
      </c>
      <c r="C32" s="99">
        <v>446.91</v>
      </c>
      <c r="D32" s="99">
        <v>446.91</v>
      </c>
      <c r="E32" s="99">
        <v>446.91</v>
      </c>
      <c r="F32" s="99">
        <v>446.91</v>
      </c>
      <c r="G32" s="99">
        <v>263.02</v>
      </c>
      <c r="H32" s="99">
        <f>531.17+194.7</f>
        <v>725.8699999999999</v>
      </c>
      <c r="I32" s="99">
        <f>296.92+178.14</f>
        <v>475.06</v>
      </c>
      <c r="J32" s="99">
        <f>294.39+180.67</f>
        <v>475.05999999999995</v>
      </c>
      <c r="K32" s="99">
        <f>321+154.06</f>
        <v>475.06</v>
      </c>
      <c r="L32" s="99">
        <f>311.37+163.69</f>
        <v>475.06</v>
      </c>
      <c r="M32" s="99">
        <f>331.16+143.93</f>
        <v>475.09000000000003</v>
      </c>
      <c r="N32" s="99">
        <f t="shared" si="5"/>
        <v>5598.77</v>
      </c>
      <c r="X32" s="110"/>
    </row>
    <row r="33" spans="1:24" s="109" customFormat="1" ht="12">
      <c r="A33" s="99" t="s">
        <v>35</v>
      </c>
      <c r="B33" s="99">
        <v>102.05</v>
      </c>
      <c r="C33" s="99">
        <v>102.05</v>
      </c>
      <c r="D33" s="99">
        <v>102.05</v>
      </c>
      <c r="E33" s="99">
        <v>102.05</v>
      </c>
      <c r="F33" s="99">
        <v>102.05</v>
      </c>
      <c r="G33" s="99">
        <v>102.05</v>
      </c>
      <c r="H33" s="99">
        <v>123.17</v>
      </c>
      <c r="I33" s="99">
        <v>123.17</v>
      </c>
      <c r="J33" s="99">
        <v>123.17</v>
      </c>
      <c r="K33" s="99">
        <v>123.17</v>
      </c>
      <c r="L33" s="99">
        <v>123.17</v>
      </c>
      <c r="M33" s="99">
        <v>123.17</v>
      </c>
      <c r="N33" s="99">
        <f t="shared" si="5"/>
        <v>1351.32</v>
      </c>
      <c r="X33" s="110"/>
    </row>
    <row r="34" spans="1:24" s="109" customFormat="1" ht="12">
      <c r="A34" s="99" t="s">
        <v>29</v>
      </c>
      <c r="B34" s="99">
        <v>97.68</v>
      </c>
      <c r="C34" s="99">
        <v>282.98</v>
      </c>
      <c r="D34" s="99">
        <v>83.29</v>
      </c>
      <c r="E34" s="99">
        <v>165.21</v>
      </c>
      <c r="F34" s="99"/>
      <c r="G34" s="99">
        <v>100.59</v>
      </c>
      <c r="H34" s="99">
        <v>100.59</v>
      </c>
      <c r="I34" s="99">
        <v>120.7</v>
      </c>
      <c r="J34" s="99">
        <v>159.41</v>
      </c>
      <c r="K34" s="99">
        <v>178.82</v>
      </c>
      <c r="L34" s="99">
        <v>178.82</v>
      </c>
      <c r="M34" s="99">
        <v>101.91</v>
      </c>
      <c r="N34" s="99">
        <f t="shared" si="5"/>
        <v>1570.0000000000002</v>
      </c>
      <c r="X34" s="110"/>
    </row>
    <row r="35" spans="1:24" s="109" customFormat="1" ht="12">
      <c r="A35" s="99" t="s">
        <v>41</v>
      </c>
      <c r="B35" s="99"/>
      <c r="C35" s="99"/>
      <c r="D35" s="99"/>
      <c r="E35" s="99"/>
      <c r="F35" s="99">
        <v>2639.25</v>
      </c>
      <c r="G35" s="99">
        <v>30</v>
      </c>
      <c r="H35" s="99"/>
      <c r="I35" s="99"/>
      <c r="J35" s="99"/>
      <c r="K35" s="99"/>
      <c r="L35" s="99"/>
      <c r="M35" s="99"/>
      <c r="N35" s="99">
        <f t="shared" si="5"/>
        <v>2669.25</v>
      </c>
      <c r="X35" s="110"/>
    </row>
    <row r="36" spans="1:24" s="109" customFormat="1" ht="12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X36" s="110"/>
    </row>
    <row r="37" spans="1:24" s="109" customFormat="1" ht="12">
      <c r="A37" s="108" t="s">
        <v>42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X37" s="110"/>
    </row>
    <row r="38" spans="1:24" s="109" customFormat="1" ht="12">
      <c r="A38" s="99" t="s">
        <v>45</v>
      </c>
      <c r="B38" s="99">
        <v>33.9</v>
      </c>
      <c r="C38" s="99">
        <v>33.9</v>
      </c>
      <c r="D38" s="99">
        <v>33.9</v>
      </c>
      <c r="E38" s="99">
        <v>33.9</v>
      </c>
      <c r="F38" s="99">
        <v>33.9</v>
      </c>
      <c r="G38" s="99">
        <v>33.9</v>
      </c>
      <c r="H38" s="99">
        <v>33.9</v>
      </c>
      <c r="I38" s="99">
        <v>33.9</v>
      </c>
      <c r="J38" s="99">
        <v>33.9</v>
      </c>
      <c r="K38" s="99">
        <v>33.9</v>
      </c>
      <c r="L38" s="99">
        <v>33.9</v>
      </c>
      <c r="M38" s="99">
        <v>33.9</v>
      </c>
      <c r="N38" s="99">
        <f t="shared" si="5"/>
        <v>406.7999999999999</v>
      </c>
      <c r="X38" s="110"/>
    </row>
    <row r="39" spans="1:24" s="109" customFormat="1" ht="12">
      <c r="A39" s="99" t="s">
        <v>49</v>
      </c>
      <c r="B39" s="99"/>
      <c r="C39" s="99"/>
      <c r="D39" s="99"/>
      <c r="E39" s="99">
        <v>3100</v>
      </c>
      <c r="F39" s="99"/>
      <c r="G39" s="99"/>
      <c r="H39" s="99"/>
      <c r="I39" s="99"/>
      <c r="J39" s="99"/>
      <c r="K39" s="99"/>
      <c r="L39" s="99"/>
      <c r="M39" s="99"/>
      <c r="N39" s="99">
        <f>B39+C39+D39+E39+F39+G39+H39+I39+J39+K39+L39+M39</f>
        <v>3100</v>
      </c>
      <c r="X39" s="110"/>
    </row>
    <row r="40" spans="1:24" s="109" customFormat="1" ht="12">
      <c r="A40" s="99" t="s">
        <v>127</v>
      </c>
      <c r="B40" s="99"/>
      <c r="C40" s="99">
        <f>119.13+58.82</f>
        <v>177.95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>
        <f t="shared" si="5"/>
        <v>177.95</v>
      </c>
      <c r="X40" s="110"/>
    </row>
    <row r="41" spans="1:24" s="109" customFormat="1" ht="12">
      <c r="A41" s="99" t="s">
        <v>47</v>
      </c>
      <c r="B41" s="99"/>
      <c r="C41" s="99">
        <v>117.65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>
        <f t="shared" si="5"/>
        <v>117.65</v>
      </c>
      <c r="X41" s="110"/>
    </row>
    <row r="42" spans="1:24" s="109" customFormat="1" ht="12">
      <c r="A42" s="111" t="s">
        <v>48</v>
      </c>
      <c r="B42" s="99"/>
      <c r="C42" s="99"/>
      <c r="D42" s="99">
        <v>17.65</v>
      </c>
      <c r="E42" s="99"/>
      <c r="F42" s="99"/>
      <c r="G42" s="99"/>
      <c r="H42" s="99"/>
      <c r="I42" s="99"/>
      <c r="J42" s="99"/>
      <c r="K42" s="99"/>
      <c r="L42" s="99"/>
      <c r="M42" s="99"/>
      <c r="N42" s="99">
        <f t="shared" si="5"/>
        <v>17.65</v>
      </c>
      <c r="X42" s="110"/>
    </row>
    <row r="43" spans="1:24" s="109" customFormat="1" ht="12">
      <c r="A43" s="99" t="s">
        <v>50</v>
      </c>
      <c r="B43" s="99"/>
      <c r="C43" s="99"/>
      <c r="D43" s="112">
        <v>126.47</v>
      </c>
      <c r="E43" s="99"/>
      <c r="F43" s="99">
        <v>740</v>
      </c>
      <c r="G43" s="99"/>
      <c r="H43" s="99"/>
      <c r="I43" s="99"/>
      <c r="J43" s="99"/>
      <c r="K43" s="99"/>
      <c r="L43" s="99"/>
      <c r="M43" s="99"/>
      <c r="N43" s="99">
        <f t="shared" si="5"/>
        <v>866.47</v>
      </c>
      <c r="X43" s="110"/>
    </row>
    <row r="44" spans="1:24" s="109" customFormat="1" ht="12">
      <c r="A44" s="99" t="s">
        <v>130</v>
      </c>
      <c r="B44" s="99"/>
      <c r="C44" s="99"/>
      <c r="D44" s="99"/>
      <c r="E44" s="99"/>
      <c r="F44" s="99"/>
      <c r="G44" s="99"/>
      <c r="H44" s="99">
        <v>161.76</v>
      </c>
      <c r="I44" s="99"/>
      <c r="J44" s="99"/>
      <c r="K44" s="99"/>
      <c r="L44" s="99"/>
      <c r="M44" s="99"/>
      <c r="N44" s="99">
        <f t="shared" si="5"/>
        <v>161.76</v>
      </c>
      <c r="X44" s="110"/>
    </row>
    <row r="45" spans="1:24" s="109" customFormat="1" ht="12">
      <c r="A45" s="99" t="s">
        <v>134</v>
      </c>
      <c r="B45" s="99"/>
      <c r="C45" s="99"/>
      <c r="D45" s="99"/>
      <c r="E45" s="99"/>
      <c r="F45" s="99"/>
      <c r="G45" s="99"/>
      <c r="H45" s="99">
        <v>93.51</v>
      </c>
      <c r="I45" s="99"/>
      <c r="J45" s="99"/>
      <c r="K45" s="99">
        <v>60.7</v>
      </c>
      <c r="L45" s="99"/>
      <c r="M45" s="99"/>
      <c r="N45" s="99">
        <f t="shared" si="5"/>
        <v>154.21</v>
      </c>
      <c r="X45" s="110"/>
    </row>
    <row r="46" spans="1:24" s="109" customFormat="1" ht="12">
      <c r="A46" s="111" t="s">
        <v>139</v>
      </c>
      <c r="B46" s="99"/>
      <c r="C46" s="99"/>
      <c r="D46" s="99"/>
      <c r="E46" s="99"/>
      <c r="F46" s="99"/>
      <c r="G46" s="99"/>
      <c r="H46" s="99"/>
      <c r="I46" s="99">
        <v>6</v>
      </c>
      <c r="J46" s="99"/>
      <c r="K46" s="99"/>
      <c r="L46" s="99"/>
      <c r="M46" s="99"/>
      <c r="N46" s="99">
        <f t="shared" si="5"/>
        <v>6</v>
      </c>
      <c r="X46" s="110"/>
    </row>
    <row r="47" spans="1:24" s="109" customFormat="1" ht="12">
      <c r="A47" s="99" t="s">
        <v>155</v>
      </c>
      <c r="B47" s="99"/>
      <c r="C47" s="99"/>
      <c r="D47" s="99"/>
      <c r="E47" s="99"/>
      <c r="F47" s="99"/>
      <c r="G47" s="99"/>
      <c r="H47" s="99"/>
      <c r="I47" s="99">
        <v>40.03</v>
      </c>
      <c r="J47" s="99"/>
      <c r="K47" s="99">
        <v>44.67</v>
      </c>
      <c r="L47" s="99">
        <v>44.67</v>
      </c>
      <c r="M47" s="99">
        <v>59.56</v>
      </c>
      <c r="N47" s="99">
        <f t="shared" si="5"/>
        <v>188.93</v>
      </c>
      <c r="X47" s="110"/>
    </row>
    <row r="48" spans="1:24" s="109" customFormat="1" ht="12">
      <c r="A48" s="99" t="s">
        <v>156</v>
      </c>
      <c r="B48" s="99"/>
      <c r="C48" s="99"/>
      <c r="D48" s="99"/>
      <c r="E48" s="99"/>
      <c r="F48" s="99"/>
      <c r="G48" s="99"/>
      <c r="H48" s="99"/>
      <c r="I48" s="99">
        <v>5.2</v>
      </c>
      <c r="J48" s="99"/>
      <c r="K48" s="99"/>
      <c r="L48" s="99"/>
      <c r="M48" s="99"/>
      <c r="N48" s="99">
        <f t="shared" si="5"/>
        <v>5.2</v>
      </c>
      <c r="X48" s="110"/>
    </row>
    <row r="49" spans="1:24" s="109" customFormat="1" ht="12">
      <c r="A49" s="99" t="s">
        <v>157</v>
      </c>
      <c r="B49" s="99"/>
      <c r="C49" s="99"/>
      <c r="D49" s="99"/>
      <c r="E49" s="99"/>
      <c r="F49" s="99"/>
      <c r="G49" s="99"/>
      <c r="H49" s="99"/>
      <c r="I49" s="99"/>
      <c r="J49" s="99">
        <v>160.75</v>
      </c>
      <c r="K49" s="99"/>
      <c r="L49" s="99"/>
      <c r="M49" s="99"/>
      <c r="N49" s="99">
        <f t="shared" si="5"/>
        <v>160.75</v>
      </c>
      <c r="X49" s="110"/>
    </row>
    <row r="50" spans="1:24" s="109" customFormat="1" ht="12">
      <c r="A50" s="99" t="s">
        <v>158</v>
      </c>
      <c r="B50" s="99"/>
      <c r="C50" s="99"/>
      <c r="D50" s="99"/>
      <c r="E50" s="99"/>
      <c r="F50" s="99"/>
      <c r="G50" s="99"/>
      <c r="H50" s="99"/>
      <c r="I50" s="99"/>
      <c r="J50" s="99">
        <v>1206.5</v>
      </c>
      <c r="K50" s="99"/>
      <c r="L50" s="99"/>
      <c r="M50" s="99"/>
      <c r="N50" s="99">
        <f t="shared" si="5"/>
        <v>1206.5</v>
      </c>
      <c r="X50" s="110"/>
    </row>
    <row r="51" spans="1:24" s="109" customFormat="1" ht="12">
      <c r="A51" s="99" t="s">
        <v>159</v>
      </c>
      <c r="B51" s="99"/>
      <c r="C51" s="99"/>
      <c r="D51" s="99"/>
      <c r="E51" s="99"/>
      <c r="F51" s="99"/>
      <c r="G51" s="99"/>
      <c r="H51" s="99"/>
      <c r="I51" s="99"/>
      <c r="J51" s="99">
        <v>17.5</v>
      </c>
      <c r="K51" s="99"/>
      <c r="L51" s="99"/>
      <c r="M51" s="99"/>
      <c r="N51" s="99">
        <f t="shared" si="5"/>
        <v>17.5</v>
      </c>
      <c r="X51" s="110"/>
    </row>
    <row r="52" spans="1:24" s="109" customFormat="1" ht="12">
      <c r="A52" s="99" t="s">
        <v>160</v>
      </c>
      <c r="B52" s="99"/>
      <c r="C52" s="99"/>
      <c r="D52" s="99"/>
      <c r="E52" s="99"/>
      <c r="F52" s="99"/>
      <c r="G52" s="99"/>
      <c r="H52" s="99"/>
      <c r="I52" s="99"/>
      <c r="J52" s="99"/>
      <c r="K52" s="99">
        <v>375</v>
      </c>
      <c r="L52" s="99"/>
      <c r="M52" s="99"/>
      <c r="N52" s="99">
        <f t="shared" si="5"/>
        <v>375</v>
      </c>
      <c r="X52" s="110"/>
    </row>
    <row r="53" spans="1:24" s="109" customFormat="1" ht="12">
      <c r="A53" s="99" t="s">
        <v>161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>
        <v>55.1</v>
      </c>
      <c r="M53" s="99"/>
      <c r="N53" s="99">
        <f t="shared" si="5"/>
        <v>55.1</v>
      </c>
      <c r="X53" s="110"/>
    </row>
    <row r="54" spans="1:24" s="109" customFormat="1" ht="12">
      <c r="A54" s="99" t="s">
        <v>167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>
        <v>10.31</v>
      </c>
      <c r="M54" s="99"/>
      <c r="N54" s="99">
        <f t="shared" si="5"/>
        <v>10.31</v>
      </c>
      <c r="X54" s="110"/>
    </row>
    <row r="55" spans="1:24" s="109" customFormat="1" ht="12">
      <c r="A55" s="99" t="s">
        <v>168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>
        <v>13.34</v>
      </c>
      <c r="N55" s="99">
        <f t="shared" si="5"/>
        <v>13.34</v>
      </c>
      <c r="X55" s="110"/>
    </row>
    <row r="56" spans="1:24" s="109" customFormat="1" ht="12" hidden="1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>
        <f t="shared" si="5"/>
        <v>0</v>
      </c>
      <c r="X56" s="110"/>
    </row>
    <row r="57" spans="1:24" s="109" customFormat="1" ht="12" hidden="1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>
        <f t="shared" si="5"/>
        <v>0</v>
      </c>
      <c r="X57" s="110"/>
    </row>
    <row r="58" spans="1:24" s="109" customFormat="1" ht="12" hidden="1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>
        <f t="shared" si="5"/>
        <v>0</v>
      </c>
      <c r="X58" s="110"/>
    </row>
    <row r="59" spans="1:24" s="109" customFormat="1" ht="12" hidden="1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>
        <f t="shared" si="5"/>
        <v>0</v>
      </c>
      <c r="X59" s="110"/>
    </row>
    <row r="60" spans="1:24" s="109" customFormat="1" ht="12" hidden="1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>
        <f t="shared" si="5"/>
        <v>0</v>
      </c>
      <c r="X60" s="110"/>
    </row>
    <row r="61" spans="1:24" s="109" customFormat="1" ht="12" hidden="1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>
        <f t="shared" si="5"/>
        <v>0</v>
      </c>
      <c r="X61" s="110"/>
    </row>
    <row r="62" spans="1:24" s="109" customFormat="1" ht="12" hidden="1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>
        <f t="shared" si="5"/>
        <v>0</v>
      </c>
      <c r="X62" s="110"/>
    </row>
    <row r="63" spans="1:24" s="109" customFormat="1" ht="12">
      <c r="A63" s="108" t="s">
        <v>16</v>
      </c>
      <c r="B63" s="108">
        <f aca="true" t="shared" si="6" ref="B63:N63">SUM(B27:B62)</f>
        <v>4706.34</v>
      </c>
      <c r="C63" s="108">
        <f t="shared" si="6"/>
        <v>5821.329999999999</v>
      </c>
      <c r="D63" s="108">
        <f t="shared" si="6"/>
        <v>5731.42</v>
      </c>
      <c r="E63" s="108">
        <f t="shared" si="6"/>
        <v>7896.839999999999</v>
      </c>
      <c r="F63" s="108">
        <f t="shared" si="6"/>
        <v>9793.429999999998</v>
      </c>
      <c r="G63" s="108">
        <f t="shared" si="6"/>
        <v>4487.589999999999</v>
      </c>
      <c r="H63" s="108">
        <f t="shared" si="6"/>
        <v>5730.55</v>
      </c>
      <c r="I63" s="108">
        <f t="shared" si="6"/>
        <v>4954.549999999999</v>
      </c>
      <c r="J63" s="108">
        <f t="shared" si="6"/>
        <v>7046.58</v>
      </c>
      <c r="K63" s="108">
        <f t="shared" si="6"/>
        <v>5907.42</v>
      </c>
      <c r="L63" s="108">
        <f t="shared" si="6"/>
        <v>4770.66</v>
      </c>
      <c r="M63" s="108">
        <f t="shared" si="6"/>
        <v>5904.780000000001</v>
      </c>
      <c r="N63" s="108">
        <f t="shared" si="6"/>
        <v>73018.17</v>
      </c>
      <c r="X63" s="110"/>
    </row>
    <row r="65" spans="1:14" ht="12">
      <c r="A65" s="152" t="s">
        <v>149</v>
      </c>
      <c r="B65" s="153" t="e">
        <f aca="true" t="shared" si="7" ref="B65:N65">B9+B19-B63</f>
        <v>#REF!</v>
      </c>
      <c r="C65" s="153" t="e">
        <f t="shared" si="7"/>
        <v>#REF!</v>
      </c>
      <c r="D65" s="153" t="e">
        <f t="shared" si="7"/>
        <v>#REF!</v>
      </c>
      <c r="E65" s="153" t="e">
        <f t="shared" si="7"/>
        <v>#REF!</v>
      </c>
      <c r="F65" s="153" t="e">
        <f t="shared" si="7"/>
        <v>#REF!</v>
      </c>
      <c r="G65" s="153" t="e">
        <f t="shared" si="7"/>
        <v>#REF!</v>
      </c>
      <c r="H65" s="153" t="e">
        <f t="shared" si="7"/>
        <v>#REF!</v>
      </c>
      <c r="I65" s="153" t="e">
        <f t="shared" si="7"/>
        <v>#REF!</v>
      </c>
      <c r="J65" s="153" t="e">
        <f t="shared" si="7"/>
        <v>#REF!</v>
      </c>
      <c r="K65" s="93" t="e">
        <f t="shared" si="7"/>
        <v>#REF!</v>
      </c>
      <c r="L65" s="153" t="e">
        <f t="shared" si="7"/>
        <v>#REF!</v>
      </c>
      <c r="M65" s="153" t="e">
        <f t="shared" si="7"/>
        <v>#REF!</v>
      </c>
      <c r="N65" s="154">
        <f t="shared" si="7"/>
        <v>15403.520000000004</v>
      </c>
    </row>
    <row r="66" spans="1:14" ht="12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4"/>
    </row>
    <row r="67" spans="1:14" ht="12" hidden="1">
      <c r="A67" s="185"/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2"/>
    </row>
    <row r="68" ht="12">
      <c r="A68" s="86" t="s">
        <v>24</v>
      </c>
    </row>
    <row r="69" ht="12">
      <c r="A69" s="86" t="s">
        <v>25</v>
      </c>
    </row>
  </sheetData>
  <sheetProtection selectLockedCells="1" selectUnlockedCells="1"/>
  <mergeCells count="3">
    <mergeCell ref="A1:N1"/>
    <mergeCell ref="A2:N2"/>
    <mergeCell ref="A3:N3"/>
  </mergeCells>
  <printOptions/>
  <pageMargins left="2.01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71"/>
  <sheetViews>
    <sheetView zoomScalePageLayoutView="0" workbookViewId="0" topLeftCell="A1">
      <pane xSplit="1" ySplit="5" topLeftCell="N4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44" sqref="P44"/>
    </sheetView>
  </sheetViews>
  <sheetFormatPr defaultColWidth="26.75390625" defaultRowHeight="12.75"/>
  <cols>
    <col min="1" max="1" width="46.125" style="39" customWidth="1"/>
    <col min="2" max="2" width="8.25390625" style="39" hidden="1" customWidth="1"/>
    <col min="3" max="4" width="9.375" style="39" hidden="1" customWidth="1"/>
    <col min="5" max="5" width="10.25390625" style="39" hidden="1" customWidth="1"/>
    <col min="6" max="6" width="9.125" style="39" hidden="1" customWidth="1"/>
    <col min="7" max="7" width="8.375" style="39" hidden="1" customWidth="1"/>
    <col min="8" max="8" width="8.875" style="39" hidden="1" customWidth="1"/>
    <col min="9" max="9" width="9.25390625" style="39" hidden="1" customWidth="1"/>
    <col min="10" max="10" width="11.25390625" style="39" hidden="1" customWidth="1"/>
    <col min="11" max="11" width="9.75390625" style="39" hidden="1" customWidth="1"/>
    <col min="12" max="12" width="8.75390625" style="39" hidden="1" customWidth="1"/>
    <col min="13" max="13" width="9.25390625" style="39" hidden="1" customWidth="1"/>
    <col min="14" max="14" width="9.25390625" style="40" customWidth="1"/>
    <col min="15" max="15" width="7.625" style="39" customWidth="1"/>
    <col min="16" max="23" width="26.75390625" style="39" customWidth="1"/>
    <col min="24" max="24" width="26.75390625" style="40" customWidth="1"/>
    <col min="25" max="16384" width="26.75390625" style="39" customWidth="1"/>
  </cols>
  <sheetData>
    <row r="1" spans="1:15" ht="12.75">
      <c r="A1" s="196" t="s">
        <v>151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38"/>
    </row>
    <row r="2" spans="1:15" ht="12.75">
      <c r="A2" s="196" t="s">
        <v>152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38"/>
    </row>
    <row r="3" spans="1:14" ht="12.75">
      <c r="A3" s="203" t="s">
        <v>170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</row>
    <row r="4" spans="1:14" ht="12.75">
      <c r="A4" s="71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</row>
    <row r="5" spans="1:14" ht="25.5">
      <c r="A5" s="72" t="s">
        <v>117</v>
      </c>
      <c r="B5" s="75" t="s">
        <v>0</v>
      </c>
      <c r="C5" s="75" t="s">
        <v>1</v>
      </c>
      <c r="D5" s="75" t="s">
        <v>2</v>
      </c>
      <c r="E5" s="75" t="s">
        <v>3</v>
      </c>
      <c r="F5" s="75" t="s">
        <v>4</v>
      </c>
      <c r="G5" s="75" t="s">
        <v>5</v>
      </c>
      <c r="H5" s="75" t="s">
        <v>6</v>
      </c>
      <c r="I5" s="75" t="s">
        <v>7</v>
      </c>
      <c r="J5" s="75" t="s">
        <v>8</v>
      </c>
      <c r="K5" s="75" t="s">
        <v>9</v>
      </c>
      <c r="L5" s="75" t="s">
        <v>10</v>
      </c>
      <c r="M5" s="75" t="s">
        <v>11</v>
      </c>
      <c r="N5" s="70" t="s">
        <v>150</v>
      </c>
    </row>
    <row r="6" spans="1:14" ht="12.7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2"/>
    </row>
    <row r="7" spans="1:14" ht="12.75">
      <c r="A7" s="42" t="s">
        <v>43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2"/>
    </row>
    <row r="8" spans="1:14" ht="12.75">
      <c r="A8" s="41" t="s">
        <v>13</v>
      </c>
      <c r="B8" s="41">
        <v>48519.25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>
        <f>B8+C8+D8+E8+F8+G8+H8+I8+J8+K8+L8+M8</f>
        <v>48519.25</v>
      </c>
    </row>
    <row r="9" spans="1:14" ht="12.75">
      <c r="A9" s="41" t="s">
        <v>14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>
        <f>B9+C9+D9+E9+F9+G9+H9+I9+J9+K9+L9+M9</f>
        <v>0</v>
      </c>
    </row>
    <row r="10" spans="1:14" s="40" customFormat="1" ht="12.75">
      <c r="A10" s="42" t="s">
        <v>16</v>
      </c>
      <c r="B10" s="42" t="e">
        <f>B8+B9+#REF!</f>
        <v>#REF!</v>
      </c>
      <c r="C10" s="42" t="e">
        <f aca="true" t="shared" si="0" ref="C10:H10">B64</f>
        <v>#REF!</v>
      </c>
      <c r="D10" s="42" t="e">
        <f t="shared" si="0"/>
        <v>#REF!</v>
      </c>
      <c r="E10" s="42" t="e">
        <f t="shared" si="0"/>
        <v>#REF!</v>
      </c>
      <c r="F10" s="42" t="e">
        <f t="shared" si="0"/>
        <v>#REF!</v>
      </c>
      <c r="G10" s="42" t="e">
        <f t="shared" si="0"/>
        <v>#REF!</v>
      </c>
      <c r="H10" s="42" t="e">
        <f t="shared" si="0"/>
        <v>#REF!</v>
      </c>
      <c r="I10" s="42" t="e">
        <f>H64</f>
        <v>#REF!</v>
      </c>
      <c r="J10" s="42" t="e">
        <f>I64</f>
        <v>#REF!</v>
      </c>
      <c r="K10" s="42" t="e">
        <f>J64</f>
        <v>#REF!</v>
      </c>
      <c r="L10" s="42" t="e">
        <f>K64</f>
        <v>#REF!</v>
      </c>
      <c r="M10" s="42" t="e">
        <f>L64</f>
        <v>#REF!</v>
      </c>
      <c r="N10" s="42">
        <f>N8+N9</f>
        <v>48519.25</v>
      </c>
    </row>
    <row r="11" spans="1:14" ht="12.7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</row>
    <row r="12" spans="1:14" ht="12.7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2"/>
    </row>
    <row r="13" spans="1:24" s="45" customFormat="1" ht="12.75">
      <c r="A13" s="43" t="s">
        <v>17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3"/>
      <c r="X13" s="46"/>
    </row>
    <row r="14" spans="1:24" s="45" customFormat="1" ht="12.75">
      <c r="A14" s="44" t="s">
        <v>13</v>
      </c>
      <c r="B14" s="44">
        <v>5768.66</v>
      </c>
      <c r="C14" s="44">
        <v>5768.66</v>
      </c>
      <c r="D14" s="44">
        <v>5768.66</v>
      </c>
      <c r="E14" s="44">
        <v>5768.66</v>
      </c>
      <c r="F14" s="44">
        <v>5768.66</v>
      </c>
      <c r="G14" s="44">
        <v>5768.66</v>
      </c>
      <c r="H14" s="44">
        <v>6102.59</v>
      </c>
      <c r="I14" s="44">
        <v>6102.59</v>
      </c>
      <c r="J14" s="44">
        <v>6102.59</v>
      </c>
      <c r="K14" s="44">
        <v>6102.59</v>
      </c>
      <c r="L14" s="44">
        <v>6102.59</v>
      </c>
      <c r="M14" s="44">
        <v>6102.59</v>
      </c>
      <c r="N14" s="44">
        <f>B14+C14+D14+E14+F14+G14+H14+I14+J14+K14+L14+M14</f>
        <v>71227.49999999999</v>
      </c>
      <c r="X14" s="46"/>
    </row>
    <row r="15" spans="1:24" s="45" customFormat="1" ht="12.75">
      <c r="A15" s="44" t="s">
        <v>14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>
        <f>B15+C15+D15+E15+F15+G15+H15+I15+J15+K15+L15+M15</f>
        <v>0</v>
      </c>
      <c r="X15" s="46"/>
    </row>
    <row r="16" spans="1:14" s="46" customFormat="1" ht="12.75">
      <c r="A16" s="43" t="s">
        <v>16</v>
      </c>
      <c r="B16" s="43">
        <f aca="true" t="shared" si="1" ref="B16:M16">SUM(B12:B15)</f>
        <v>5768.66</v>
      </c>
      <c r="C16" s="43">
        <f t="shared" si="1"/>
        <v>5768.66</v>
      </c>
      <c r="D16" s="43">
        <f t="shared" si="1"/>
        <v>5768.66</v>
      </c>
      <c r="E16" s="43">
        <f t="shared" si="1"/>
        <v>5768.66</v>
      </c>
      <c r="F16" s="43">
        <f t="shared" si="1"/>
        <v>5768.66</v>
      </c>
      <c r="G16" s="43">
        <f t="shared" si="1"/>
        <v>5768.66</v>
      </c>
      <c r="H16" s="43">
        <f t="shared" si="1"/>
        <v>6102.59</v>
      </c>
      <c r="I16" s="43">
        <f t="shared" si="1"/>
        <v>6102.59</v>
      </c>
      <c r="J16" s="43">
        <f t="shared" si="1"/>
        <v>6102.59</v>
      </c>
      <c r="K16" s="43">
        <f t="shared" si="1"/>
        <v>6102.59</v>
      </c>
      <c r="L16" s="43">
        <f t="shared" si="1"/>
        <v>6102.59</v>
      </c>
      <c r="M16" s="43">
        <f t="shared" si="1"/>
        <v>6102.59</v>
      </c>
      <c r="N16" s="43">
        <f>B16+C16+D16+E16+F16+G16+H16+I16+J16+K16+L16+M16</f>
        <v>71227.49999999999</v>
      </c>
    </row>
    <row r="17" spans="1:14" ht="12.75">
      <c r="A17" s="41"/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2"/>
    </row>
    <row r="18" spans="1:24" s="49" customFormat="1" ht="12.75">
      <c r="A18" s="47" t="s">
        <v>18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7"/>
      <c r="X18" s="50"/>
    </row>
    <row r="19" spans="1:24" s="49" customFormat="1" ht="12.75">
      <c r="A19" s="48" t="s">
        <v>13</v>
      </c>
      <c r="B19" s="48">
        <v>4919.57</v>
      </c>
      <c r="C19" s="48">
        <v>4365.5</v>
      </c>
      <c r="D19" s="48">
        <v>7995.57</v>
      </c>
      <c r="E19" s="48">
        <v>5827.66</v>
      </c>
      <c r="F19" s="48">
        <f>4776.02+470</f>
        <v>5246.02</v>
      </c>
      <c r="G19" s="48">
        <f>8214.82+450.88</f>
        <v>8665.699999999999</v>
      </c>
      <c r="H19" s="48">
        <f>5314.27+450.88</f>
        <v>5765.150000000001</v>
      </c>
      <c r="I19" s="48">
        <f>3303.74+450.88</f>
        <v>3754.62</v>
      </c>
      <c r="J19" s="48">
        <f>8467.75+450.88</f>
        <v>8918.63</v>
      </c>
      <c r="K19" s="48">
        <f>4514.61+375</f>
        <v>4889.61</v>
      </c>
      <c r="L19" s="48">
        <v>4414.17</v>
      </c>
      <c r="M19" s="48">
        <v>7259.63</v>
      </c>
      <c r="N19" s="48">
        <f>B19+C19+D19+E19+F19+G19+H19+I19+J19+K19+L19+M19</f>
        <v>72021.83</v>
      </c>
      <c r="X19" s="50"/>
    </row>
    <row r="20" spans="1:24" s="49" customFormat="1" ht="12.75">
      <c r="A20" s="48" t="s">
        <v>14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>
        <f>B20+C20+D20+E20+F20+G20+H20+I20+J20+K20+L20+M20</f>
        <v>0</v>
      </c>
      <c r="X20" s="50"/>
    </row>
    <row r="21" spans="1:14" s="50" customFormat="1" ht="12.75">
      <c r="A21" s="47" t="s">
        <v>16</v>
      </c>
      <c r="B21" s="47">
        <f aca="true" t="shared" si="2" ref="B21:N21">SUM(B19:B20)</f>
        <v>4919.57</v>
      </c>
      <c r="C21" s="47">
        <f t="shared" si="2"/>
        <v>4365.5</v>
      </c>
      <c r="D21" s="47">
        <f t="shared" si="2"/>
        <v>7995.57</v>
      </c>
      <c r="E21" s="47">
        <f t="shared" si="2"/>
        <v>5827.66</v>
      </c>
      <c r="F21" s="47">
        <f t="shared" si="2"/>
        <v>5246.02</v>
      </c>
      <c r="G21" s="47">
        <f t="shared" si="2"/>
        <v>8665.699999999999</v>
      </c>
      <c r="H21" s="47">
        <f t="shared" si="2"/>
        <v>5765.150000000001</v>
      </c>
      <c r="I21" s="47">
        <f t="shared" si="2"/>
        <v>3754.62</v>
      </c>
      <c r="J21" s="47">
        <f t="shared" si="2"/>
        <v>8918.63</v>
      </c>
      <c r="K21" s="47">
        <f t="shared" si="2"/>
        <v>4889.61</v>
      </c>
      <c r="L21" s="47">
        <f t="shared" si="2"/>
        <v>4414.17</v>
      </c>
      <c r="M21" s="47">
        <f t="shared" si="2"/>
        <v>7259.63</v>
      </c>
      <c r="N21" s="47">
        <f t="shared" si="2"/>
        <v>72021.83</v>
      </c>
    </row>
    <row r="22" spans="1:14" ht="12.75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2"/>
    </row>
    <row r="23" spans="1:14" ht="12.75">
      <c r="A23" s="42" t="s">
        <v>19</v>
      </c>
      <c r="B23" s="51">
        <f aca="true" t="shared" si="3" ref="B23:N23">B21/B16</f>
        <v>0.8528098379866381</v>
      </c>
      <c r="C23" s="51">
        <f t="shared" si="3"/>
        <v>0.7567615356079228</v>
      </c>
      <c r="D23" s="51">
        <f t="shared" si="3"/>
        <v>1.3860359251541952</v>
      </c>
      <c r="E23" s="51">
        <f t="shared" si="3"/>
        <v>1.0102276785249955</v>
      </c>
      <c r="F23" s="51">
        <f t="shared" si="3"/>
        <v>0.9094001033168883</v>
      </c>
      <c r="G23" s="51">
        <f t="shared" si="3"/>
        <v>1.5022032846449607</v>
      </c>
      <c r="H23" s="51">
        <f t="shared" si="3"/>
        <v>0.9447054447373985</v>
      </c>
      <c r="I23" s="51">
        <f t="shared" si="3"/>
        <v>0.6152502462069384</v>
      </c>
      <c r="J23" s="51">
        <f t="shared" si="3"/>
        <v>1.4614499745190155</v>
      </c>
      <c r="K23" s="51">
        <f t="shared" si="3"/>
        <v>0.8012352132455236</v>
      </c>
      <c r="L23" s="51">
        <f t="shared" si="3"/>
        <v>0.7233273085689846</v>
      </c>
      <c r="M23" s="51">
        <f t="shared" si="3"/>
        <v>1.1895981869992904</v>
      </c>
      <c r="N23" s="52">
        <f t="shared" si="3"/>
        <v>1.0111520129163598</v>
      </c>
    </row>
    <row r="24" spans="1:14" ht="12.75">
      <c r="A24" s="42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3"/>
    </row>
    <row r="25" spans="1:14" ht="12.75">
      <c r="A25" s="42" t="s">
        <v>20</v>
      </c>
      <c r="B25" s="54">
        <f aca="true" t="shared" si="4" ref="B25:N25">B16-B21</f>
        <v>849.0900000000001</v>
      </c>
      <c r="C25" s="54">
        <f t="shared" si="4"/>
        <v>1403.1599999999999</v>
      </c>
      <c r="D25" s="54">
        <f t="shared" si="4"/>
        <v>-2226.91</v>
      </c>
      <c r="E25" s="54">
        <f t="shared" si="4"/>
        <v>-59</v>
      </c>
      <c r="F25" s="54">
        <f t="shared" si="4"/>
        <v>522.6399999999994</v>
      </c>
      <c r="G25" s="54">
        <f t="shared" si="4"/>
        <v>-2897.039999999999</v>
      </c>
      <c r="H25" s="54">
        <f t="shared" si="4"/>
        <v>337.4399999999996</v>
      </c>
      <c r="I25" s="54">
        <f t="shared" si="4"/>
        <v>2347.9700000000003</v>
      </c>
      <c r="J25" s="54">
        <f t="shared" si="4"/>
        <v>-2816.039999999999</v>
      </c>
      <c r="K25" s="54">
        <f t="shared" si="4"/>
        <v>1212.9800000000005</v>
      </c>
      <c r="L25" s="54">
        <f t="shared" si="4"/>
        <v>1688.42</v>
      </c>
      <c r="M25" s="54">
        <f t="shared" si="4"/>
        <v>-1157.04</v>
      </c>
      <c r="N25" s="54">
        <f t="shared" si="4"/>
        <v>-794.3300000000163</v>
      </c>
    </row>
    <row r="26" spans="1:14" ht="12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2"/>
    </row>
    <row r="27" spans="1:24" s="57" customFormat="1" ht="12.75">
      <c r="A27" s="55" t="s">
        <v>21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5"/>
      <c r="X27" s="58"/>
    </row>
    <row r="28" spans="1:24" s="57" customFormat="1" ht="12.7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5"/>
      <c r="X28" s="58"/>
    </row>
    <row r="29" spans="1:24" s="57" customFormat="1" ht="12.75">
      <c r="A29" s="56" t="s">
        <v>22</v>
      </c>
      <c r="B29" s="56">
        <v>235.87</v>
      </c>
      <c r="C29" s="56">
        <v>186.04</v>
      </c>
      <c r="D29" s="56">
        <v>463.54</v>
      </c>
      <c r="E29" s="56">
        <f>255.1+52.42</f>
        <v>307.52</v>
      </c>
      <c r="F29" s="56">
        <v>1688.1</v>
      </c>
      <c r="G29" s="56">
        <f>190.09+26.94</f>
        <v>217.03</v>
      </c>
      <c r="H29" s="56">
        <v>269.36</v>
      </c>
      <c r="I29" s="56">
        <v>274.95</v>
      </c>
      <c r="J29" s="56">
        <v>246.08</v>
      </c>
      <c r="K29" s="56">
        <v>343.01</v>
      </c>
      <c r="L29" s="56">
        <v>111.11</v>
      </c>
      <c r="M29" s="56">
        <v>291.76</v>
      </c>
      <c r="N29" s="56">
        <f>B29+C29+D29+E29+F29+G29+H29+I29+J29+K29+L29+M29</f>
        <v>4634.37</v>
      </c>
      <c r="X29" s="58"/>
    </row>
    <row r="30" spans="1:24" s="57" customFormat="1" ht="12.75">
      <c r="A30" s="56" t="s">
        <v>164</v>
      </c>
      <c r="B30" s="56">
        <v>2189.28</v>
      </c>
      <c r="C30" s="56">
        <v>2189.28</v>
      </c>
      <c r="D30" s="56">
        <v>2189.28</v>
      </c>
      <c r="E30" s="56">
        <v>2189.28</v>
      </c>
      <c r="F30" s="56">
        <v>2189.28</v>
      </c>
      <c r="G30" s="56">
        <v>2189.28</v>
      </c>
      <c r="H30" s="56">
        <v>2189.28</v>
      </c>
      <c r="I30" s="56">
        <v>2434.07</v>
      </c>
      <c r="J30" s="56">
        <v>2479.3</v>
      </c>
      <c r="K30" s="56">
        <v>2479.3</v>
      </c>
      <c r="L30" s="56">
        <v>2479.3</v>
      </c>
      <c r="M30" s="56">
        <v>2479.3</v>
      </c>
      <c r="N30" s="56">
        <f aca="true" t="shared" si="5" ref="N30:N61">B30+C30+D30+E30+F30+G30+H30+I30+J30+K30+L30+M30</f>
        <v>27676.23</v>
      </c>
      <c r="X30" s="58"/>
    </row>
    <row r="31" spans="1:24" s="57" customFormat="1" ht="12.75">
      <c r="A31" s="56" t="s">
        <v>31</v>
      </c>
      <c r="B31" s="56">
        <f>355.2+292.08</f>
        <v>647.28</v>
      </c>
      <c r="C31" s="56">
        <f>355.2+565.79</f>
        <v>920.99</v>
      </c>
      <c r="D31" s="56">
        <f>355.2+549.39</f>
        <v>904.5899999999999</v>
      </c>
      <c r="E31" s="56">
        <v>203.69</v>
      </c>
      <c r="F31" s="56">
        <v>203.69</v>
      </c>
      <c r="G31" s="56">
        <v>203.69</v>
      </c>
      <c r="H31" s="56">
        <v>689.33</v>
      </c>
      <c r="I31" s="56">
        <v>527.2</v>
      </c>
      <c r="J31" s="56">
        <v>527.2</v>
      </c>
      <c r="K31" s="56">
        <v>527.2</v>
      </c>
      <c r="L31" s="56">
        <v>527.2</v>
      </c>
      <c r="M31" s="56">
        <v>527.2</v>
      </c>
      <c r="N31" s="56">
        <f>B31+C31+D31+E31+F31+G31+H31+I31+J31+K31+L31+M31+269.38</f>
        <v>6678.639999999999</v>
      </c>
      <c r="X31" s="58"/>
    </row>
    <row r="32" spans="1:24" s="57" customFormat="1" ht="12.75">
      <c r="A32" s="56" t="s">
        <v>32</v>
      </c>
      <c r="B32" s="56">
        <f>662.1</f>
        <v>662.1</v>
      </c>
      <c r="C32" s="56">
        <v>1320.23</v>
      </c>
      <c r="D32" s="56">
        <f>653.26+666.97</f>
        <v>1320.23</v>
      </c>
      <c r="E32" s="56">
        <f>721.86+576.21</f>
        <v>1298.0700000000002</v>
      </c>
      <c r="F32" s="56">
        <f>718.08+576.21</f>
        <v>1294.29</v>
      </c>
      <c r="G32" s="56">
        <f>646.51+651.55</f>
        <v>1298.06</v>
      </c>
      <c r="H32" s="56">
        <v>1298.06</v>
      </c>
      <c r="I32" s="56">
        <v>942.83</v>
      </c>
      <c r="J32" s="56">
        <f>355.21+565.7+732.36</f>
        <v>1653.27</v>
      </c>
      <c r="K32" s="56">
        <f>942.83+355.23</f>
        <v>1298.06</v>
      </c>
      <c r="L32" s="56">
        <v>759.3</v>
      </c>
      <c r="M32" s="56">
        <f>673.45+538.76+624.61</f>
        <v>1836.8200000000002</v>
      </c>
      <c r="N32" s="56">
        <f t="shared" si="5"/>
        <v>14981.319999999998</v>
      </c>
      <c r="X32" s="58"/>
    </row>
    <row r="33" spans="1:24" s="57" customFormat="1" ht="12.75">
      <c r="A33" s="59" t="s">
        <v>33</v>
      </c>
      <c r="B33" s="56">
        <v>7.79</v>
      </c>
      <c r="C33" s="56">
        <v>7.79</v>
      </c>
      <c r="D33" s="56">
        <v>7.79</v>
      </c>
      <c r="E33" s="56">
        <v>7.79</v>
      </c>
      <c r="F33" s="56">
        <v>7.79</v>
      </c>
      <c r="G33" s="56">
        <v>7.79</v>
      </c>
      <c r="H33" s="56">
        <v>7.79</v>
      </c>
      <c r="I33" s="56">
        <v>7.79</v>
      </c>
      <c r="J33" s="56">
        <v>7.79</v>
      </c>
      <c r="K33" s="56">
        <v>7.79</v>
      </c>
      <c r="L33" s="56">
        <v>7.79</v>
      </c>
      <c r="M33" s="56">
        <v>7.79</v>
      </c>
      <c r="N33" s="56">
        <f t="shared" si="5"/>
        <v>93.48000000000002</v>
      </c>
      <c r="X33" s="58"/>
    </row>
    <row r="34" spans="1:24" s="57" customFormat="1" ht="12.75">
      <c r="A34" s="56" t="s">
        <v>36</v>
      </c>
      <c r="B34" s="56">
        <v>451.1</v>
      </c>
      <c r="C34" s="56">
        <v>451.1</v>
      </c>
      <c r="D34" s="56">
        <v>451.1</v>
      </c>
      <c r="E34" s="56">
        <v>451.1</v>
      </c>
      <c r="F34" s="56">
        <v>451.1</v>
      </c>
      <c r="G34" s="56">
        <v>265.49</v>
      </c>
      <c r="H34" s="56">
        <f>536.16+196.53</f>
        <v>732.6899999999999</v>
      </c>
      <c r="I34" s="56">
        <f>299.71+179.81</f>
        <v>479.52</v>
      </c>
      <c r="J34" s="56">
        <f>297.15+182.37</f>
        <v>479.52</v>
      </c>
      <c r="K34" s="56">
        <f>324.01+155.51</f>
        <v>479.52</v>
      </c>
      <c r="L34" s="56">
        <f>314.29+165.23</f>
        <v>479.52</v>
      </c>
      <c r="M34" s="56">
        <f>334.27+145.25</f>
        <v>479.52</v>
      </c>
      <c r="N34" s="56">
        <f t="shared" si="5"/>
        <v>5651.280000000001</v>
      </c>
      <c r="X34" s="58"/>
    </row>
    <row r="35" spans="1:24" s="57" customFormat="1" ht="12.75">
      <c r="A35" s="56" t="s">
        <v>35</v>
      </c>
      <c r="B35" s="56">
        <v>103.01</v>
      </c>
      <c r="C35" s="56">
        <v>103.01</v>
      </c>
      <c r="D35" s="56">
        <v>103.01</v>
      </c>
      <c r="E35" s="56">
        <v>103.01</v>
      </c>
      <c r="F35" s="56">
        <v>103.01</v>
      </c>
      <c r="G35" s="56">
        <v>103.01</v>
      </c>
      <c r="H35" s="56">
        <v>124.32</v>
      </c>
      <c r="I35" s="56">
        <v>124.32</v>
      </c>
      <c r="J35" s="56">
        <v>124.32</v>
      </c>
      <c r="K35" s="56">
        <v>124.32</v>
      </c>
      <c r="L35" s="56">
        <v>124.32</v>
      </c>
      <c r="M35" s="56">
        <v>124.32</v>
      </c>
      <c r="N35" s="56">
        <f t="shared" si="5"/>
        <v>1363.9799999999998</v>
      </c>
      <c r="X35" s="58"/>
    </row>
    <row r="36" spans="1:24" s="57" customFormat="1" ht="12.75">
      <c r="A36" s="56" t="s">
        <v>29</v>
      </c>
      <c r="B36" s="56">
        <v>97.68</v>
      </c>
      <c r="C36" s="56">
        <v>282.98</v>
      </c>
      <c r="D36" s="56">
        <v>83.29</v>
      </c>
      <c r="E36" s="56">
        <v>165.21</v>
      </c>
      <c r="F36" s="56"/>
      <c r="G36" s="56">
        <v>100.59</v>
      </c>
      <c r="H36" s="56">
        <v>100.59</v>
      </c>
      <c r="I36" s="56">
        <v>120.7</v>
      </c>
      <c r="J36" s="56">
        <v>159.41</v>
      </c>
      <c r="K36" s="56">
        <v>178.82</v>
      </c>
      <c r="L36" s="56">
        <v>178.82</v>
      </c>
      <c r="M36" s="56">
        <v>101.91</v>
      </c>
      <c r="N36" s="56">
        <f t="shared" si="5"/>
        <v>1570.0000000000002</v>
      </c>
      <c r="X36" s="58"/>
    </row>
    <row r="37" spans="1:24" s="57" customFormat="1" ht="12.75">
      <c r="A37" s="56" t="s">
        <v>40</v>
      </c>
      <c r="B37" s="56"/>
      <c r="C37" s="56"/>
      <c r="D37" s="56"/>
      <c r="E37" s="56"/>
      <c r="F37" s="56"/>
      <c r="G37" s="56">
        <v>450.88</v>
      </c>
      <c r="H37" s="56">
        <v>450.88</v>
      </c>
      <c r="I37" s="56">
        <v>450.88</v>
      </c>
      <c r="J37" s="56">
        <v>450.88</v>
      </c>
      <c r="K37" s="56"/>
      <c r="L37" s="56"/>
      <c r="M37" s="56"/>
      <c r="N37" s="56">
        <f t="shared" si="5"/>
        <v>1803.52</v>
      </c>
      <c r="X37" s="58"/>
    </row>
    <row r="38" spans="1:24" s="57" customFormat="1" ht="12.75">
      <c r="A38" s="56" t="s">
        <v>41</v>
      </c>
      <c r="B38" s="56"/>
      <c r="C38" s="56"/>
      <c r="D38" s="56"/>
      <c r="E38" s="56"/>
      <c r="F38" s="56">
        <v>2664</v>
      </c>
      <c r="G38" s="56">
        <v>30</v>
      </c>
      <c r="H38" s="56"/>
      <c r="I38" s="56"/>
      <c r="J38" s="56"/>
      <c r="K38" s="56"/>
      <c r="L38" s="56"/>
      <c r="M38" s="56"/>
      <c r="N38" s="56">
        <f t="shared" si="5"/>
        <v>2694</v>
      </c>
      <c r="X38" s="58"/>
    </row>
    <row r="39" spans="1:24" s="57" customFormat="1" ht="12.7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X39" s="58"/>
    </row>
    <row r="40" spans="1:24" s="57" customFormat="1" ht="12.75">
      <c r="A40" s="55" t="s">
        <v>42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X40" s="58"/>
    </row>
    <row r="41" spans="1:24" s="57" customFormat="1" ht="12.75">
      <c r="A41" s="56" t="s">
        <v>45</v>
      </c>
      <c r="B41" s="56">
        <v>34.22</v>
      </c>
      <c r="C41" s="56">
        <v>34.22</v>
      </c>
      <c r="D41" s="56">
        <v>34.22</v>
      </c>
      <c r="E41" s="56">
        <v>34.22</v>
      </c>
      <c r="F41" s="56">
        <v>34.22</v>
      </c>
      <c r="G41" s="56">
        <v>34.22</v>
      </c>
      <c r="H41" s="56">
        <v>34.22</v>
      </c>
      <c r="I41" s="56">
        <v>34.22</v>
      </c>
      <c r="J41" s="56">
        <v>34.22</v>
      </c>
      <c r="K41" s="56">
        <v>34.22</v>
      </c>
      <c r="L41" s="56">
        <v>34.22</v>
      </c>
      <c r="M41" s="56">
        <v>34.22</v>
      </c>
      <c r="N41" s="56">
        <f t="shared" si="5"/>
        <v>410.6400000000001</v>
      </c>
      <c r="X41" s="58"/>
    </row>
    <row r="42" spans="1:24" s="57" customFormat="1" ht="12.75">
      <c r="A42" s="56" t="s">
        <v>126</v>
      </c>
      <c r="B42" s="56">
        <v>239.25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>
        <f t="shared" si="5"/>
        <v>239.25</v>
      </c>
      <c r="X42" s="58"/>
    </row>
    <row r="43" spans="1:24" s="57" customFormat="1" ht="12.75">
      <c r="A43" s="56" t="s">
        <v>46</v>
      </c>
      <c r="B43" s="56"/>
      <c r="C43" s="56">
        <f>120.24+58.82</f>
        <v>179.06</v>
      </c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>
        <f t="shared" si="5"/>
        <v>179.06</v>
      </c>
      <c r="X43" s="58"/>
    </row>
    <row r="44" spans="1:24" s="57" customFormat="1" ht="12.75">
      <c r="A44" s="56" t="s">
        <v>47</v>
      </c>
      <c r="B44" s="56"/>
      <c r="C44" s="56">
        <v>117.65</v>
      </c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>
        <f t="shared" si="5"/>
        <v>117.65</v>
      </c>
      <c r="X44" s="58"/>
    </row>
    <row r="45" spans="1:24" s="57" customFormat="1" ht="12.75">
      <c r="A45" s="56" t="s">
        <v>48</v>
      </c>
      <c r="B45" s="56"/>
      <c r="C45" s="56"/>
      <c r="D45" s="56">
        <v>17.65</v>
      </c>
      <c r="E45" s="56"/>
      <c r="F45" s="56"/>
      <c r="G45" s="56"/>
      <c r="H45" s="56"/>
      <c r="I45" s="56"/>
      <c r="J45" s="56"/>
      <c r="K45" s="56"/>
      <c r="L45" s="56"/>
      <c r="M45" s="56"/>
      <c r="N45" s="56">
        <f t="shared" si="5"/>
        <v>17.65</v>
      </c>
      <c r="X45" s="58"/>
    </row>
    <row r="46" spans="1:24" s="57" customFormat="1" ht="12.75">
      <c r="A46" s="56" t="s">
        <v>50</v>
      </c>
      <c r="B46" s="56"/>
      <c r="C46" s="56"/>
      <c r="D46" s="60">
        <v>126.47</v>
      </c>
      <c r="E46" s="56"/>
      <c r="F46" s="56"/>
      <c r="G46" s="56"/>
      <c r="H46" s="56"/>
      <c r="I46" s="56"/>
      <c r="J46" s="56"/>
      <c r="K46" s="56"/>
      <c r="L46" s="56"/>
      <c r="M46" s="56"/>
      <c r="N46" s="56">
        <f t="shared" si="5"/>
        <v>126.47</v>
      </c>
      <c r="X46" s="58"/>
    </row>
    <row r="47" spans="1:24" s="57" customFormat="1" ht="12.75">
      <c r="A47" s="56" t="s">
        <v>119</v>
      </c>
      <c r="B47" s="56"/>
      <c r="C47" s="56"/>
      <c r="D47" s="56"/>
      <c r="E47" s="56"/>
      <c r="F47" s="56">
        <v>470</v>
      </c>
      <c r="G47" s="56"/>
      <c r="H47" s="56"/>
      <c r="I47" s="56"/>
      <c r="J47" s="56"/>
      <c r="K47" s="56"/>
      <c r="L47" s="56"/>
      <c r="M47" s="56"/>
      <c r="N47" s="56">
        <f t="shared" si="5"/>
        <v>470</v>
      </c>
      <c r="X47" s="58"/>
    </row>
    <row r="48" spans="1:24" s="57" customFormat="1" ht="12.75">
      <c r="A48" s="56" t="s">
        <v>130</v>
      </c>
      <c r="B48" s="56"/>
      <c r="C48" s="56"/>
      <c r="D48" s="56"/>
      <c r="E48" s="56"/>
      <c r="F48" s="56"/>
      <c r="G48" s="56"/>
      <c r="H48" s="56">
        <v>161.76</v>
      </c>
      <c r="I48" s="56"/>
      <c r="J48" s="56"/>
      <c r="K48" s="56"/>
      <c r="L48" s="56"/>
      <c r="M48" s="56"/>
      <c r="N48" s="56">
        <f t="shared" si="5"/>
        <v>161.76</v>
      </c>
      <c r="X48" s="58"/>
    </row>
    <row r="49" spans="1:24" s="57" customFormat="1" ht="12.75">
      <c r="A49" s="59" t="s">
        <v>139</v>
      </c>
      <c r="B49" s="56"/>
      <c r="C49" s="56"/>
      <c r="D49" s="56"/>
      <c r="E49" s="56"/>
      <c r="F49" s="56"/>
      <c r="G49" s="56"/>
      <c r="H49" s="56"/>
      <c r="I49" s="56">
        <v>6.06</v>
      </c>
      <c r="J49" s="56"/>
      <c r="K49" s="56"/>
      <c r="L49" s="56"/>
      <c r="M49" s="56"/>
      <c r="N49" s="56">
        <f t="shared" si="5"/>
        <v>6.06</v>
      </c>
      <c r="X49" s="58"/>
    </row>
    <row r="50" spans="1:24" s="57" customFormat="1" ht="12.75">
      <c r="A50" s="56" t="s">
        <v>155</v>
      </c>
      <c r="B50" s="56"/>
      <c r="C50" s="56"/>
      <c r="D50" s="56"/>
      <c r="E50" s="56"/>
      <c r="F50" s="56"/>
      <c r="G50" s="56"/>
      <c r="H50" s="56"/>
      <c r="I50" s="56">
        <v>40.41</v>
      </c>
      <c r="J50" s="56"/>
      <c r="K50" s="56">
        <v>45.09</v>
      </c>
      <c r="L50" s="56">
        <v>45.09</v>
      </c>
      <c r="M50" s="56">
        <v>60.12</v>
      </c>
      <c r="N50" s="56">
        <f t="shared" si="5"/>
        <v>190.71</v>
      </c>
      <c r="X50" s="58"/>
    </row>
    <row r="51" spans="1:24" s="57" customFormat="1" ht="12.75">
      <c r="A51" s="56" t="s">
        <v>156</v>
      </c>
      <c r="B51" s="56"/>
      <c r="C51" s="56"/>
      <c r="D51" s="56"/>
      <c r="E51" s="56"/>
      <c r="F51" s="56"/>
      <c r="G51" s="56"/>
      <c r="H51" s="56"/>
      <c r="I51" s="56">
        <v>5.25</v>
      </c>
      <c r="J51" s="56"/>
      <c r="K51" s="56"/>
      <c r="L51" s="56"/>
      <c r="M51" s="56"/>
      <c r="N51" s="56">
        <f t="shared" si="5"/>
        <v>5.25</v>
      </c>
      <c r="X51" s="58"/>
    </row>
    <row r="52" spans="1:24" s="57" customFormat="1" ht="12.75">
      <c r="A52" s="56" t="s">
        <v>157</v>
      </c>
      <c r="B52" s="56"/>
      <c r="C52" s="56"/>
      <c r="D52" s="56"/>
      <c r="E52" s="56"/>
      <c r="F52" s="56"/>
      <c r="G52" s="56"/>
      <c r="H52" s="56"/>
      <c r="I52" s="56"/>
      <c r="J52" s="56">
        <v>160.75</v>
      </c>
      <c r="K52" s="56"/>
      <c r="L52" s="56"/>
      <c r="M52" s="56"/>
      <c r="N52" s="56">
        <f t="shared" si="5"/>
        <v>160.75</v>
      </c>
      <c r="X52" s="58"/>
    </row>
    <row r="53" spans="1:24" s="57" customFormat="1" ht="12.75">
      <c r="A53" s="56" t="s">
        <v>158</v>
      </c>
      <c r="B53" s="56"/>
      <c r="C53" s="56"/>
      <c r="D53" s="56"/>
      <c r="E53" s="56"/>
      <c r="F53" s="56"/>
      <c r="G53" s="56"/>
      <c r="H53" s="56"/>
      <c r="I53" s="56"/>
      <c r="J53" s="56">
        <v>3263.79</v>
      </c>
      <c r="K53" s="56"/>
      <c r="L53" s="56"/>
      <c r="M53" s="56"/>
      <c r="N53" s="56">
        <f t="shared" si="5"/>
        <v>3263.79</v>
      </c>
      <c r="X53" s="58"/>
    </row>
    <row r="54" spans="1:24" s="57" customFormat="1" ht="12.75">
      <c r="A54" s="56" t="s">
        <v>159</v>
      </c>
      <c r="B54" s="56"/>
      <c r="C54" s="56"/>
      <c r="D54" s="56"/>
      <c r="E54" s="56"/>
      <c r="F54" s="56"/>
      <c r="G54" s="56"/>
      <c r="H54" s="56"/>
      <c r="I54" s="56"/>
      <c r="J54" s="56">
        <v>17.5</v>
      </c>
      <c r="K54" s="56"/>
      <c r="L54" s="56"/>
      <c r="M54" s="56"/>
      <c r="N54" s="56">
        <f t="shared" si="5"/>
        <v>17.5</v>
      </c>
      <c r="X54" s="58"/>
    </row>
    <row r="55" spans="1:24" s="57" customFormat="1" ht="12.75">
      <c r="A55" s="56" t="s">
        <v>230</v>
      </c>
      <c r="B55" s="56"/>
      <c r="C55" s="56"/>
      <c r="D55" s="56"/>
      <c r="E55" s="56"/>
      <c r="F55" s="56"/>
      <c r="G55" s="56"/>
      <c r="H55" s="56"/>
      <c r="I55" s="56"/>
      <c r="J55" s="56">
        <v>4600</v>
      </c>
      <c r="K55" s="56"/>
      <c r="L55" s="56"/>
      <c r="M55" s="56"/>
      <c r="N55" s="56">
        <f t="shared" si="5"/>
        <v>4600</v>
      </c>
      <c r="X55" s="58"/>
    </row>
    <row r="56" spans="1:24" s="57" customFormat="1" ht="12.75">
      <c r="A56" s="56" t="s">
        <v>160</v>
      </c>
      <c r="B56" s="56"/>
      <c r="C56" s="56"/>
      <c r="D56" s="56"/>
      <c r="E56" s="56"/>
      <c r="F56" s="56"/>
      <c r="G56" s="56"/>
      <c r="H56" s="56"/>
      <c r="I56" s="56"/>
      <c r="J56" s="56"/>
      <c r="K56" s="56">
        <v>375</v>
      </c>
      <c r="L56" s="56"/>
      <c r="M56" s="56"/>
      <c r="N56" s="56">
        <f t="shared" si="5"/>
        <v>375</v>
      </c>
      <c r="X56" s="58"/>
    </row>
    <row r="57" spans="1:24" s="57" customFormat="1" ht="12.75">
      <c r="A57" s="56" t="s">
        <v>161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>
        <v>55.61</v>
      </c>
      <c r="M57" s="56"/>
      <c r="N57" s="56">
        <f t="shared" si="5"/>
        <v>55.61</v>
      </c>
      <c r="X57" s="58"/>
    </row>
    <row r="58" spans="1:24" s="57" customFormat="1" ht="12.75">
      <c r="A58" s="56" t="s">
        <v>167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>
        <v>10.31</v>
      </c>
      <c r="M58" s="56"/>
      <c r="N58" s="56">
        <f t="shared" si="5"/>
        <v>10.31</v>
      </c>
      <c r="X58" s="58"/>
    </row>
    <row r="59" spans="1:24" s="57" customFormat="1" ht="12.75">
      <c r="A59" s="56" t="s">
        <v>168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>
        <v>13.47</v>
      </c>
      <c r="N59" s="56">
        <f t="shared" si="5"/>
        <v>13.47</v>
      </c>
      <c r="X59" s="58"/>
    </row>
    <row r="60" spans="1:24" s="57" customFormat="1" ht="12.75">
      <c r="A60" s="56" t="s">
        <v>169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>
        <v>3430</v>
      </c>
      <c r="N60" s="56">
        <f t="shared" si="5"/>
        <v>3430</v>
      </c>
      <c r="X60" s="58"/>
    </row>
    <row r="61" spans="1:24" s="57" customFormat="1" ht="12.7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>
        <f t="shared" si="5"/>
        <v>0</v>
      </c>
      <c r="X61" s="58"/>
    </row>
    <row r="62" spans="1:24" s="57" customFormat="1" ht="12.75">
      <c r="A62" s="55" t="s">
        <v>16</v>
      </c>
      <c r="B62" s="55">
        <f aca="true" t="shared" si="6" ref="B62:N62">SUM(B29:B61)</f>
        <v>4667.580000000001</v>
      </c>
      <c r="C62" s="55">
        <f t="shared" si="6"/>
        <v>5792.350000000002</v>
      </c>
      <c r="D62" s="55">
        <f t="shared" si="6"/>
        <v>5701.17</v>
      </c>
      <c r="E62" s="55">
        <f t="shared" si="6"/>
        <v>4759.890000000001</v>
      </c>
      <c r="F62" s="55">
        <f t="shared" si="6"/>
        <v>9105.480000000001</v>
      </c>
      <c r="G62" s="55">
        <f t="shared" si="6"/>
        <v>4900.040000000001</v>
      </c>
      <c r="H62" s="55">
        <f t="shared" si="6"/>
        <v>6058.280000000001</v>
      </c>
      <c r="I62" s="55">
        <f t="shared" si="6"/>
        <v>5448.200000000001</v>
      </c>
      <c r="J62" s="55">
        <f t="shared" si="6"/>
        <v>14204.029999999999</v>
      </c>
      <c r="K62" s="55">
        <f t="shared" si="6"/>
        <v>5892.329999999999</v>
      </c>
      <c r="L62" s="55">
        <f t="shared" si="6"/>
        <v>4812.590000000001</v>
      </c>
      <c r="M62" s="55">
        <f t="shared" si="6"/>
        <v>9386.43</v>
      </c>
      <c r="N62" s="55">
        <f t="shared" si="6"/>
        <v>80997.74999999999</v>
      </c>
      <c r="X62" s="58"/>
    </row>
    <row r="64" spans="1:14" ht="12.75">
      <c r="A64" s="61" t="s">
        <v>149</v>
      </c>
      <c r="B64" s="62" t="e">
        <f aca="true" t="shared" si="7" ref="B64:N64">B10+B21-B62</f>
        <v>#REF!</v>
      </c>
      <c r="C64" s="62" t="e">
        <f t="shared" si="7"/>
        <v>#REF!</v>
      </c>
      <c r="D64" s="62" t="e">
        <f t="shared" si="7"/>
        <v>#REF!</v>
      </c>
      <c r="E64" s="62" t="e">
        <f t="shared" si="7"/>
        <v>#REF!</v>
      </c>
      <c r="F64" s="62" t="e">
        <f t="shared" si="7"/>
        <v>#REF!</v>
      </c>
      <c r="G64" s="62" t="e">
        <f t="shared" si="7"/>
        <v>#REF!</v>
      </c>
      <c r="H64" s="62" t="e">
        <f t="shared" si="7"/>
        <v>#REF!</v>
      </c>
      <c r="I64" s="62" t="e">
        <f t="shared" si="7"/>
        <v>#REF!</v>
      </c>
      <c r="J64" s="62" t="e">
        <f t="shared" si="7"/>
        <v>#REF!</v>
      </c>
      <c r="K64" s="76" t="e">
        <f t="shared" si="7"/>
        <v>#REF!</v>
      </c>
      <c r="L64" s="62" t="e">
        <f t="shared" si="7"/>
        <v>#REF!</v>
      </c>
      <c r="M64" s="62" t="e">
        <f t="shared" si="7"/>
        <v>#REF!</v>
      </c>
      <c r="N64" s="63">
        <f t="shared" si="7"/>
        <v>39543.330000000016</v>
      </c>
    </row>
    <row r="65" spans="1:14" ht="12.7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77"/>
      <c r="L65" s="41"/>
      <c r="M65" s="41"/>
      <c r="N65" s="42"/>
    </row>
    <row r="66" spans="1:14" ht="12.75" hidden="1">
      <c r="A66" s="64"/>
      <c r="B66" s="65"/>
      <c r="C66" s="65"/>
      <c r="D66" s="65"/>
      <c r="E66" s="65"/>
      <c r="F66" s="65"/>
      <c r="G66" s="65"/>
      <c r="H66" s="65"/>
      <c r="I66" s="65"/>
      <c r="J66" s="65"/>
      <c r="K66" s="78"/>
      <c r="L66" s="65"/>
      <c r="M66" s="65"/>
      <c r="N66" s="66"/>
    </row>
    <row r="67" spans="1:14" s="40" customFormat="1" ht="12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79"/>
      <c r="L67" s="67"/>
      <c r="M67" s="67"/>
      <c r="N67" s="67"/>
    </row>
    <row r="68" spans="1:14" s="40" customFormat="1" ht="12.75">
      <c r="A68" s="68"/>
      <c r="B68" s="67"/>
      <c r="C68" s="67"/>
      <c r="D68" s="67"/>
      <c r="E68" s="67"/>
      <c r="F68" s="67"/>
      <c r="G68" s="67"/>
      <c r="H68" s="67"/>
      <c r="I68" s="67"/>
      <c r="J68" s="67"/>
      <c r="K68" s="79"/>
      <c r="L68" s="67"/>
      <c r="M68" s="67"/>
      <c r="N68" s="67"/>
    </row>
    <row r="69" spans="1:14" s="40" customFormat="1" ht="12.7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</row>
    <row r="70" ht="12.75">
      <c r="A70" s="39" t="s">
        <v>24</v>
      </c>
    </row>
    <row r="71" ht="12.75">
      <c r="A71" s="39" t="s">
        <v>25</v>
      </c>
    </row>
  </sheetData>
  <sheetProtection selectLockedCells="1" selectUnlockedCells="1"/>
  <mergeCells count="3">
    <mergeCell ref="A1:N1"/>
    <mergeCell ref="A2:N2"/>
    <mergeCell ref="A3:N3"/>
  </mergeCells>
  <printOptions/>
  <pageMargins left="1.62" right="0.7875" top="0.34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1:Y75"/>
  <sheetViews>
    <sheetView workbookViewId="0" topLeftCell="A1">
      <pane xSplit="2" ySplit="5" topLeftCell="C4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2" sqref="B62"/>
    </sheetView>
  </sheetViews>
  <sheetFormatPr defaultColWidth="26.75390625" defaultRowHeight="12.75"/>
  <cols>
    <col min="1" max="1" width="15.25390625" style="86" customWidth="1"/>
    <col min="2" max="2" width="43.00390625" style="86" customWidth="1"/>
    <col min="3" max="3" width="8.625" style="86" hidden="1" customWidth="1"/>
    <col min="4" max="5" width="9.375" style="86" hidden="1" customWidth="1"/>
    <col min="6" max="6" width="10.25390625" style="86" hidden="1" customWidth="1"/>
    <col min="7" max="7" width="9.125" style="86" hidden="1" customWidth="1"/>
    <col min="8" max="8" width="9.00390625" style="86" hidden="1" customWidth="1"/>
    <col min="9" max="9" width="8.875" style="86" hidden="1" customWidth="1"/>
    <col min="10" max="10" width="9.25390625" style="86" hidden="1" customWidth="1"/>
    <col min="11" max="11" width="11.25390625" style="86" hidden="1" customWidth="1"/>
    <col min="12" max="12" width="9.75390625" style="86" hidden="1" customWidth="1"/>
    <col min="13" max="13" width="8.75390625" style="86" hidden="1" customWidth="1"/>
    <col min="14" max="14" width="9.25390625" style="86" hidden="1" customWidth="1"/>
    <col min="15" max="15" width="9.25390625" style="87" customWidth="1"/>
    <col min="16" max="16" width="7.625" style="86" customWidth="1"/>
    <col min="17" max="24" width="26.75390625" style="86" customWidth="1"/>
    <col min="25" max="25" width="26.75390625" style="87" customWidth="1"/>
    <col min="26" max="16384" width="26.75390625" style="86" customWidth="1"/>
  </cols>
  <sheetData>
    <row r="1" spans="2:16" ht="12">
      <c r="B1" s="194" t="s">
        <v>151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85"/>
    </row>
    <row r="2" spans="2:16" ht="12">
      <c r="B2" s="194" t="s">
        <v>152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85"/>
    </row>
    <row r="3" spans="2:15" ht="12">
      <c r="B3" s="194" t="s">
        <v>110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2:15" ht="12">
      <c r="B4" s="165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9"/>
    </row>
    <row r="5" spans="2:16" ht="24">
      <c r="B5" s="90" t="s">
        <v>111</v>
      </c>
      <c r="C5" s="91" t="s">
        <v>0</v>
      </c>
      <c r="D5" s="91" t="s">
        <v>1</v>
      </c>
      <c r="E5" s="91" t="s">
        <v>2</v>
      </c>
      <c r="F5" s="91" t="s">
        <v>3</v>
      </c>
      <c r="G5" s="91" t="s">
        <v>4</v>
      </c>
      <c r="H5" s="91" t="s">
        <v>5</v>
      </c>
      <c r="I5" s="91" t="s">
        <v>6</v>
      </c>
      <c r="J5" s="91" t="s">
        <v>7</v>
      </c>
      <c r="K5" s="91" t="s">
        <v>8</v>
      </c>
      <c r="L5" s="91" t="s">
        <v>9</v>
      </c>
      <c r="M5" s="91" t="s">
        <v>10</v>
      </c>
      <c r="N5" s="91" t="s">
        <v>11</v>
      </c>
      <c r="O5" s="92" t="s">
        <v>150</v>
      </c>
      <c r="P5" s="88"/>
    </row>
    <row r="6" spans="2:15" ht="12"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</row>
    <row r="7" spans="2:15" ht="12">
      <c r="B7" s="94" t="s">
        <v>43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</row>
    <row r="8" spans="2:15" ht="12">
      <c r="B8" s="93" t="s">
        <v>13</v>
      </c>
      <c r="C8" s="93">
        <v>42262.91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>
        <f>C8+D8+E8+F8+G8+H8+I8+J8+K8+L8+M8+N8</f>
        <v>42262.91</v>
      </c>
    </row>
    <row r="9" spans="2:15" ht="12">
      <c r="B9" s="93" t="s">
        <v>14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>
        <f>C9+D9+E9+F9+G9+H9+I9+J9+K9+L9+M9+N9</f>
        <v>0</v>
      </c>
    </row>
    <row r="10" spans="2:15" s="87" customFormat="1" ht="12">
      <c r="B10" s="94" t="s">
        <v>16</v>
      </c>
      <c r="C10" s="94" t="e">
        <f>C8+C9+#REF!</f>
        <v>#REF!</v>
      </c>
      <c r="D10" s="94" t="e">
        <f aca="true" t="shared" si="0" ref="D10:I10">C68</f>
        <v>#REF!</v>
      </c>
      <c r="E10" s="94" t="e">
        <f t="shared" si="0"/>
        <v>#REF!</v>
      </c>
      <c r="F10" s="94" t="e">
        <f t="shared" si="0"/>
        <v>#REF!</v>
      </c>
      <c r="G10" s="94" t="e">
        <f t="shared" si="0"/>
        <v>#REF!</v>
      </c>
      <c r="H10" s="94" t="e">
        <f t="shared" si="0"/>
        <v>#REF!</v>
      </c>
      <c r="I10" s="94" t="e">
        <f t="shared" si="0"/>
        <v>#REF!</v>
      </c>
      <c r="J10" s="94" t="e">
        <f>I68</f>
        <v>#REF!</v>
      </c>
      <c r="K10" s="94" t="e">
        <f>J68</f>
        <v>#REF!</v>
      </c>
      <c r="L10" s="94" t="e">
        <f>K68</f>
        <v>#REF!</v>
      </c>
      <c r="M10" s="94" t="e">
        <f>L68</f>
        <v>#REF!</v>
      </c>
      <c r="N10" s="94" t="e">
        <f>M68</f>
        <v>#REF!</v>
      </c>
      <c r="O10" s="94">
        <f>O8+O9</f>
        <v>42262.91</v>
      </c>
    </row>
    <row r="11" spans="2:15" ht="12"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4"/>
    </row>
    <row r="12" spans="2:25" s="97" customFormat="1" ht="12">
      <c r="B12" s="95" t="s">
        <v>17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5"/>
      <c r="Y12" s="98"/>
    </row>
    <row r="13" spans="2:25" s="97" customFormat="1" ht="12">
      <c r="B13" s="96" t="s">
        <v>13</v>
      </c>
      <c r="C13" s="96">
        <v>29419.3</v>
      </c>
      <c r="D13" s="96">
        <v>29419.3</v>
      </c>
      <c r="E13" s="96">
        <v>29419.3</v>
      </c>
      <c r="F13" s="96">
        <v>29419.3</v>
      </c>
      <c r="G13" s="96">
        <v>29419.3</v>
      </c>
      <c r="H13" s="96">
        <v>29419.3</v>
      </c>
      <c r="I13" s="96">
        <v>34150.19</v>
      </c>
      <c r="J13" s="96">
        <v>34150.19</v>
      </c>
      <c r="K13" s="96">
        <v>34150.19</v>
      </c>
      <c r="L13" s="96">
        <v>34150.19</v>
      </c>
      <c r="M13" s="96">
        <v>34150.19</v>
      </c>
      <c r="N13" s="96">
        <v>34150.19</v>
      </c>
      <c r="O13" s="96">
        <f>C13+D13+E13+F13+G13+H13+I13+J13+K13+L13+M13+N13</f>
        <v>381416.94</v>
      </c>
      <c r="Y13" s="98"/>
    </row>
    <row r="14" spans="2:25" s="97" customFormat="1" ht="12">
      <c r="B14" s="96" t="s">
        <v>14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>
        <f>C14+D14+E14+F14+G14+H14+I14+J14+K14+L14+M14+N14</f>
        <v>0</v>
      </c>
      <c r="Y14" s="98"/>
    </row>
    <row r="15" spans="2:15" s="98" customFormat="1" ht="12">
      <c r="B15" s="95" t="s">
        <v>16</v>
      </c>
      <c r="C15" s="95">
        <f aca="true" t="shared" si="1" ref="C15:N15">SUM(C11:C14)</f>
        <v>29419.3</v>
      </c>
      <c r="D15" s="95">
        <f t="shared" si="1"/>
        <v>29419.3</v>
      </c>
      <c r="E15" s="95">
        <f t="shared" si="1"/>
        <v>29419.3</v>
      </c>
      <c r="F15" s="95">
        <f t="shared" si="1"/>
        <v>29419.3</v>
      </c>
      <c r="G15" s="95">
        <f t="shared" si="1"/>
        <v>29419.3</v>
      </c>
      <c r="H15" s="95">
        <f t="shared" si="1"/>
        <v>29419.3</v>
      </c>
      <c r="I15" s="95">
        <f t="shared" si="1"/>
        <v>34150.19</v>
      </c>
      <c r="J15" s="95">
        <f t="shared" si="1"/>
        <v>34150.19</v>
      </c>
      <c r="K15" s="95">
        <f t="shared" si="1"/>
        <v>34150.19</v>
      </c>
      <c r="L15" s="95">
        <f t="shared" si="1"/>
        <v>34150.19</v>
      </c>
      <c r="M15" s="95">
        <f t="shared" si="1"/>
        <v>34150.19</v>
      </c>
      <c r="N15" s="95">
        <f t="shared" si="1"/>
        <v>34150.19</v>
      </c>
      <c r="O15" s="95">
        <f>C15+D15+E15+F15+G15+H15+I15+J15+K15+L15+M15+N15</f>
        <v>381416.94</v>
      </c>
    </row>
    <row r="16" spans="2:15" ht="12"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4"/>
    </row>
    <row r="17" spans="2:25" s="102" customFormat="1" ht="12">
      <c r="B17" s="100" t="s">
        <v>18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0"/>
      <c r="Y17" s="103"/>
    </row>
    <row r="18" spans="2:25" s="102" customFormat="1" ht="12">
      <c r="B18" s="101" t="s">
        <v>13</v>
      </c>
      <c r="C18" s="101">
        <f>22373.61+1500</f>
        <v>23873.61</v>
      </c>
      <c r="D18" s="101">
        <f>18161.7+2000</f>
        <v>20161.7</v>
      </c>
      <c r="E18" s="101">
        <f>38573.65+1500</f>
        <v>40073.65</v>
      </c>
      <c r="F18" s="101">
        <f>21456.57+1500+1500</f>
        <v>24456.57</v>
      </c>
      <c r="G18" s="101">
        <f>28442.04+1000</f>
        <v>29442.04</v>
      </c>
      <c r="H18" s="101">
        <f>32824.32+1000+1670.52</f>
        <v>35494.84</v>
      </c>
      <c r="I18" s="101">
        <f>42094.48+1264.52+1000</f>
        <v>44359</v>
      </c>
      <c r="J18" s="101">
        <f>30269.9+1264.52+1000+250</f>
        <v>32784.42</v>
      </c>
      <c r="K18" s="101">
        <f>49195.42+1000+1264.52</f>
        <v>51459.939999999995</v>
      </c>
      <c r="L18" s="101">
        <v>29050.74</v>
      </c>
      <c r="M18" s="101">
        <v>36217.75</v>
      </c>
      <c r="N18" s="101">
        <v>33335.95</v>
      </c>
      <c r="O18" s="101">
        <f>C18+D18+E18+F18+G18+H18+I18+J18+K18+L18+M18+N18</f>
        <v>400710.21</v>
      </c>
      <c r="Y18" s="103"/>
    </row>
    <row r="19" spans="2:25" s="102" customFormat="1" ht="12">
      <c r="B19" s="96" t="s">
        <v>38</v>
      </c>
      <c r="C19" s="101"/>
      <c r="D19" s="101">
        <v>11.83</v>
      </c>
      <c r="E19" s="101">
        <v>38.88</v>
      </c>
      <c r="F19" s="101">
        <v>10.46</v>
      </c>
      <c r="G19" s="101">
        <v>43.43</v>
      </c>
      <c r="H19" s="101">
        <v>119.18</v>
      </c>
      <c r="I19" s="101">
        <v>266.3</v>
      </c>
      <c r="J19" s="101"/>
      <c r="K19" s="101"/>
      <c r="L19" s="101"/>
      <c r="M19" s="101"/>
      <c r="N19" s="101"/>
      <c r="O19" s="101">
        <f>C19+D19+E19+F19+G19+H19+I19+J19+K19+L19+M19+N19</f>
        <v>490.08000000000004</v>
      </c>
      <c r="Y19" s="103"/>
    </row>
    <row r="20" spans="2:25" s="102" customFormat="1" ht="12">
      <c r="B20" s="99" t="s">
        <v>30</v>
      </c>
      <c r="C20" s="101"/>
      <c r="D20" s="101">
        <v>8.36</v>
      </c>
      <c r="E20" s="101">
        <v>9.38</v>
      </c>
      <c r="F20" s="101">
        <v>7.39</v>
      </c>
      <c r="G20" s="101"/>
      <c r="H20" s="101">
        <v>32.3</v>
      </c>
      <c r="I20" s="101">
        <v>66.23</v>
      </c>
      <c r="J20" s="101"/>
      <c r="K20" s="101"/>
      <c r="L20" s="101"/>
      <c r="M20" s="101"/>
      <c r="N20" s="101"/>
      <c r="O20" s="101">
        <f>C20+D20+E20+F20+G20+H20+I20+J20+K20+L20+M20+N20</f>
        <v>123.66</v>
      </c>
      <c r="Y20" s="103"/>
    </row>
    <row r="21" spans="2:25" s="102" customFormat="1" ht="12">
      <c r="B21" s="99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Y21" s="103"/>
    </row>
    <row r="22" spans="2:15" s="103" customFormat="1" ht="12">
      <c r="B22" s="100" t="s">
        <v>16</v>
      </c>
      <c r="C22" s="100">
        <f aca="true" t="shared" si="2" ref="C22:O22">SUM(C18:C21)</f>
        <v>23873.61</v>
      </c>
      <c r="D22" s="100">
        <f t="shared" si="2"/>
        <v>20181.890000000003</v>
      </c>
      <c r="E22" s="100">
        <f t="shared" si="2"/>
        <v>40121.909999999996</v>
      </c>
      <c r="F22" s="100">
        <f t="shared" si="2"/>
        <v>24474.42</v>
      </c>
      <c r="G22" s="100">
        <f t="shared" si="2"/>
        <v>29485.47</v>
      </c>
      <c r="H22" s="100">
        <f t="shared" si="2"/>
        <v>35646.32</v>
      </c>
      <c r="I22" s="100">
        <f t="shared" si="2"/>
        <v>44691.530000000006</v>
      </c>
      <c r="J22" s="100">
        <f t="shared" si="2"/>
        <v>32784.42</v>
      </c>
      <c r="K22" s="100">
        <f t="shared" si="2"/>
        <v>51459.939999999995</v>
      </c>
      <c r="L22" s="100">
        <f t="shared" si="2"/>
        <v>29050.74</v>
      </c>
      <c r="M22" s="100">
        <f t="shared" si="2"/>
        <v>36217.75</v>
      </c>
      <c r="N22" s="100">
        <f t="shared" si="2"/>
        <v>33335.95</v>
      </c>
      <c r="O22" s="100">
        <f t="shared" si="2"/>
        <v>401323.95</v>
      </c>
    </row>
    <row r="23" spans="2:15" ht="12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4"/>
    </row>
    <row r="24" spans="2:15" ht="12">
      <c r="B24" s="94" t="s">
        <v>19</v>
      </c>
      <c r="C24" s="104">
        <f aca="true" t="shared" si="3" ref="C24:O24">C22/C15</f>
        <v>0.811494835023267</v>
      </c>
      <c r="D24" s="104">
        <f t="shared" si="3"/>
        <v>0.6860085046211162</v>
      </c>
      <c r="E24" s="104">
        <f t="shared" si="3"/>
        <v>1.3637955355837834</v>
      </c>
      <c r="F24" s="104">
        <f t="shared" si="3"/>
        <v>0.8319171428280074</v>
      </c>
      <c r="G24" s="104">
        <f t="shared" si="3"/>
        <v>1.0022492037539983</v>
      </c>
      <c r="H24" s="104">
        <f t="shared" si="3"/>
        <v>1.2116644515675083</v>
      </c>
      <c r="I24" s="104">
        <f t="shared" si="3"/>
        <v>1.3086758814519042</v>
      </c>
      <c r="J24" s="104">
        <f t="shared" si="3"/>
        <v>0.9600069575015541</v>
      </c>
      <c r="K24" s="104">
        <f t="shared" si="3"/>
        <v>1.5068712648450855</v>
      </c>
      <c r="L24" s="104">
        <f t="shared" si="3"/>
        <v>0.8506757941903105</v>
      </c>
      <c r="M24" s="104">
        <f t="shared" si="3"/>
        <v>1.0605431477833651</v>
      </c>
      <c r="N24" s="104">
        <f t="shared" si="3"/>
        <v>0.9761570872665715</v>
      </c>
      <c r="O24" s="105">
        <f t="shared" si="3"/>
        <v>1.0521922544918954</v>
      </c>
    </row>
    <row r="25" spans="2:15" ht="12">
      <c r="B25" s="9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6"/>
    </row>
    <row r="26" spans="2:15" ht="12">
      <c r="B26" s="94" t="s">
        <v>20</v>
      </c>
      <c r="C26" s="107">
        <f aca="true" t="shared" si="4" ref="C26:O26">C15-C22</f>
        <v>5545.689999999999</v>
      </c>
      <c r="D26" s="107">
        <f t="shared" si="4"/>
        <v>9237.409999999996</v>
      </c>
      <c r="E26" s="107">
        <f t="shared" si="4"/>
        <v>-10702.609999999997</v>
      </c>
      <c r="F26" s="107">
        <f t="shared" si="4"/>
        <v>4944.880000000001</v>
      </c>
      <c r="G26" s="107">
        <f t="shared" si="4"/>
        <v>-66.17000000000189</v>
      </c>
      <c r="H26" s="107">
        <f t="shared" si="4"/>
        <v>-6227.02</v>
      </c>
      <c r="I26" s="107">
        <f t="shared" si="4"/>
        <v>-10541.340000000004</v>
      </c>
      <c r="J26" s="107">
        <f t="shared" si="4"/>
        <v>1365.770000000004</v>
      </c>
      <c r="K26" s="107">
        <f t="shared" si="4"/>
        <v>-17309.749999999993</v>
      </c>
      <c r="L26" s="107">
        <f t="shared" si="4"/>
        <v>5099.450000000001</v>
      </c>
      <c r="M26" s="107">
        <f t="shared" si="4"/>
        <v>-2067.5599999999977</v>
      </c>
      <c r="N26" s="107">
        <f t="shared" si="4"/>
        <v>814.2400000000052</v>
      </c>
      <c r="O26" s="107">
        <f t="shared" si="4"/>
        <v>-19907.01000000001</v>
      </c>
    </row>
    <row r="27" spans="2:15" ht="12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4"/>
    </row>
    <row r="28" spans="2:25" s="109" customFormat="1" ht="12">
      <c r="B28" s="108" t="s">
        <v>21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108"/>
      <c r="Y28" s="110"/>
    </row>
    <row r="29" spans="2:25" s="109" customFormat="1" ht="12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108"/>
      <c r="Y29" s="110"/>
    </row>
    <row r="30" spans="2:25" s="109" customFormat="1" ht="12">
      <c r="B30" s="99" t="s">
        <v>22</v>
      </c>
      <c r="C30" s="99">
        <v>235.76</v>
      </c>
      <c r="D30" s="99">
        <v>186.06</v>
      </c>
      <c r="E30" s="99">
        <v>463.54</v>
      </c>
      <c r="F30" s="99">
        <f>255.1+52.42</f>
        <v>307.52</v>
      </c>
      <c r="G30" s="99">
        <v>1688.1</v>
      </c>
      <c r="H30" s="99">
        <f>190.11+116.72</f>
        <v>306.83000000000004</v>
      </c>
      <c r="I30" s="99">
        <v>269.36</v>
      </c>
      <c r="J30" s="99">
        <v>274.94</v>
      </c>
      <c r="K30" s="99">
        <v>251.86</v>
      </c>
      <c r="L30" s="99">
        <f>342.99</f>
        <v>342.99</v>
      </c>
      <c r="M30" s="99">
        <v>111.11</v>
      </c>
      <c r="N30" s="99">
        <v>291.76</v>
      </c>
      <c r="O30" s="99">
        <f>C30+D30+E30+F30+G30+H30+I30+J30+K30+L30+M30+N30</f>
        <v>4729.83</v>
      </c>
      <c r="Y30" s="110"/>
    </row>
    <row r="31" spans="2:25" s="109" customFormat="1" ht="12">
      <c r="B31" s="99" t="s">
        <v>185</v>
      </c>
      <c r="C31" s="99">
        <v>10943.62</v>
      </c>
      <c r="D31" s="99">
        <v>10943.62</v>
      </c>
      <c r="E31" s="99">
        <v>10943.62</v>
      </c>
      <c r="F31" s="99">
        <v>10943.62</v>
      </c>
      <c r="G31" s="99">
        <v>10943.62</v>
      </c>
      <c r="H31" s="99">
        <v>10943.62</v>
      </c>
      <c r="I31" s="99">
        <v>10943.62</v>
      </c>
      <c r="J31" s="99">
        <v>10546.93</v>
      </c>
      <c r="K31" s="99">
        <v>10742.92</v>
      </c>
      <c r="L31" s="99">
        <v>10742.92</v>
      </c>
      <c r="M31" s="99">
        <v>10742.92</v>
      </c>
      <c r="N31" s="99">
        <v>10742.92</v>
      </c>
      <c r="O31" s="99">
        <f aca="true" t="shared" si="5" ref="O31:O65">C31+D31+E31+F31+G31+H31+I31+J31+K31+L31+M31+N31</f>
        <v>130123.94999999998</v>
      </c>
      <c r="Y31" s="110"/>
    </row>
    <row r="32" spans="2:25" s="109" customFormat="1" ht="12">
      <c r="B32" s="99" t="s">
        <v>31</v>
      </c>
      <c r="C32" s="99">
        <f>1539.1+1265.62</f>
        <v>2804.72</v>
      </c>
      <c r="D32" s="99">
        <f>1539.1+2457.95</f>
        <v>3997.0499999999997</v>
      </c>
      <c r="E32" s="99">
        <f>1000+422.86+1539.1</f>
        <v>2961.96</v>
      </c>
      <c r="F32" s="99">
        <f>1000+882.58</f>
        <v>1882.58</v>
      </c>
      <c r="G32" s="99">
        <f>1000+882.58</f>
        <v>1882.58</v>
      </c>
      <c r="H32" s="99">
        <f>1000+882.58</f>
        <v>1882.58</v>
      </c>
      <c r="I32" s="99">
        <v>2986.92</v>
      </c>
      <c r="J32" s="99">
        <v>2284.37</v>
      </c>
      <c r="K32" s="99">
        <v>2284.37</v>
      </c>
      <c r="L32" s="99">
        <v>2284.37</v>
      </c>
      <c r="M32" s="99">
        <f>2284.37</f>
        <v>2284.37</v>
      </c>
      <c r="N32" s="99">
        <v>2284.37</v>
      </c>
      <c r="O32" s="99">
        <f>C32+D32+E32+F32+G32+H32+I32+J32+K32+L32+M32+N32+1167.24</f>
        <v>30987.479999999996</v>
      </c>
      <c r="Y32" s="110"/>
    </row>
    <row r="33" spans="2:25" s="109" customFormat="1" ht="12">
      <c r="B33" s="99" t="s">
        <v>32</v>
      </c>
      <c r="C33" s="99">
        <f>2868.92</f>
        <v>2868.92</v>
      </c>
      <c r="D33" s="99">
        <f>3472.14</f>
        <v>3472.14</v>
      </c>
      <c r="E33" s="99"/>
      <c r="F33" s="99"/>
      <c r="G33" s="99"/>
      <c r="H33" s="99">
        <f>2801.38+2823.18</f>
        <v>5624.5599999999995</v>
      </c>
      <c r="I33" s="99">
        <v>5624.57</v>
      </c>
      <c r="J33" s="99">
        <f>4085.35</f>
        <v>4085.35</v>
      </c>
      <c r="K33" s="99">
        <f>1539.22+2451.21+3173.36</f>
        <v>7163.790000000001</v>
      </c>
      <c r="L33" s="99">
        <f>4085.35+1539.22</f>
        <v>5624.57</v>
      </c>
      <c r="M33" s="99">
        <f>3290.08</f>
        <v>3290.08</v>
      </c>
      <c r="N33" s="99">
        <f>2918.11+2334.48+2706.46</f>
        <v>7959.05</v>
      </c>
      <c r="O33" s="99">
        <f t="shared" si="5"/>
        <v>45713.03</v>
      </c>
      <c r="Y33" s="110"/>
    </row>
    <row r="34" spans="2:25" s="109" customFormat="1" ht="12">
      <c r="B34" s="99" t="s">
        <v>26</v>
      </c>
      <c r="C34" s="99"/>
      <c r="D34" s="99">
        <v>362.4</v>
      </c>
      <c r="E34" s="99">
        <v>362.4</v>
      </c>
      <c r="F34" s="99">
        <v>1377.85</v>
      </c>
      <c r="G34" s="99">
        <v>362.4</v>
      </c>
      <c r="H34" s="99">
        <v>362.4</v>
      </c>
      <c r="I34" s="99">
        <f>10040.07-9677.67</f>
        <v>362.39999999999964</v>
      </c>
      <c r="J34" s="99">
        <v>809.07</v>
      </c>
      <c r="K34" s="99">
        <f>14486.23-14039.56</f>
        <v>446.6700000000001</v>
      </c>
      <c r="L34" s="99">
        <v>446.67</v>
      </c>
      <c r="M34" s="99">
        <v>446.67</v>
      </c>
      <c r="N34" s="99">
        <v>446.67</v>
      </c>
      <c r="O34" s="99">
        <f t="shared" si="5"/>
        <v>5785.6</v>
      </c>
      <c r="Y34" s="110"/>
    </row>
    <row r="35" spans="2:25" s="109" customFormat="1" ht="12">
      <c r="B35" s="111" t="s">
        <v>33</v>
      </c>
      <c r="C35" s="99">
        <v>33.74</v>
      </c>
      <c r="D35" s="99">
        <v>33.74</v>
      </c>
      <c r="E35" s="99">
        <v>33.74</v>
      </c>
      <c r="F35" s="99">
        <v>33.74</v>
      </c>
      <c r="G35" s="99">
        <v>33.74</v>
      </c>
      <c r="H35" s="99">
        <v>33.74</v>
      </c>
      <c r="I35" s="99">
        <v>33.74</v>
      </c>
      <c r="J35" s="99">
        <v>33.74</v>
      </c>
      <c r="K35" s="99">
        <v>33.74</v>
      </c>
      <c r="L35" s="99">
        <v>33.74</v>
      </c>
      <c r="M35" s="99">
        <v>33.74</v>
      </c>
      <c r="N35" s="99">
        <v>33.74</v>
      </c>
      <c r="O35" s="99">
        <f t="shared" si="5"/>
        <v>404.88000000000005</v>
      </c>
      <c r="Y35" s="110"/>
    </row>
    <row r="36" spans="2:25" s="109" customFormat="1" ht="12">
      <c r="B36" s="99" t="s">
        <v>34</v>
      </c>
      <c r="C36" s="99">
        <f>1900</f>
        <v>1900</v>
      </c>
      <c r="D36" s="99">
        <v>3900</v>
      </c>
      <c r="E36" s="99">
        <f>1950+1950</f>
        <v>3900</v>
      </c>
      <c r="F36" s="99">
        <f>1950+1950</f>
        <v>3900</v>
      </c>
      <c r="G36" s="99">
        <f>1950+1950</f>
        <v>3900</v>
      </c>
      <c r="H36" s="99">
        <f>1950+1950</f>
        <v>3900</v>
      </c>
      <c r="I36" s="99"/>
      <c r="J36" s="99"/>
      <c r="K36" s="99"/>
      <c r="L36" s="99">
        <v>3900</v>
      </c>
      <c r="M36" s="99">
        <v>1950</v>
      </c>
      <c r="N36" s="99">
        <f>1950+2000</f>
        <v>3950</v>
      </c>
      <c r="O36" s="99">
        <f t="shared" si="5"/>
        <v>31200</v>
      </c>
      <c r="Y36" s="110"/>
    </row>
    <row r="37" spans="2:25" s="109" customFormat="1" ht="12">
      <c r="B37" s="99" t="s">
        <v>36</v>
      </c>
      <c r="C37" s="99">
        <v>1959.74</v>
      </c>
      <c r="D37" s="99">
        <v>1959.74</v>
      </c>
      <c r="E37" s="99">
        <v>1959.74</v>
      </c>
      <c r="F37" s="99">
        <v>1959.74</v>
      </c>
      <c r="G37" s="99">
        <v>1959.74</v>
      </c>
      <c r="H37" s="99">
        <v>1150.37</v>
      </c>
      <c r="I37" s="99">
        <f>2323.19+851.57</f>
        <v>3174.76</v>
      </c>
      <c r="J37" s="99">
        <f>1298.65+779.13</f>
        <v>2077.78</v>
      </c>
      <c r="K37" s="99">
        <f>1287.58+790.21</f>
        <v>2077.79</v>
      </c>
      <c r="L37" s="99">
        <f>1403.96+673.83</f>
        <v>2077.79</v>
      </c>
      <c r="M37" s="99">
        <f>1361.86+715.93</f>
        <v>2077.79</v>
      </c>
      <c r="N37" s="99">
        <f>1448.4+629.39</f>
        <v>2077.79</v>
      </c>
      <c r="O37" s="99">
        <f t="shared" si="5"/>
        <v>24512.770000000004</v>
      </c>
      <c r="Y37" s="110"/>
    </row>
    <row r="38" spans="2:25" s="109" customFormat="1" ht="12">
      <c r="B38" s="99" t="s">
        <v>35</v>
      </c>
      <c r="C38" s="99">
        <v>447.6</v>
      </c>
      <c r="D38" s="99">
        <v>447.5</v>
      </c>
      <c r="E38" s="99">
        <v>447.5</v>
      </c>
      <c r="F38" s="99">
        <v>447.6</v>
      </c>
      <c r="G38" s="99">
        <v>447.5</v>
      </c>
      <c r="H38" s="99">
        <v>447.5</v>
      </c>
      <c r="I38" s="99">
        <v>538.69</v>
      </c>
      <c r="J38" s="99">
        <v>538.69</v>
      </c>
      <c r="K38" s="99">
        <v>538.69</v>
      </c>
      <c r="L38" s="99">
        <v>538.69</v>
      </c>
      <c r="M38" s="99">
        <v>538.69</v>
      </c>
      <c r="N38" s="99">
        <v>538.69</v>
      </c>
      <c r="O38" s="99">
        <f t="shared" si="5"/>
        <v>5917.340000000002</v>
      </c>
      <c r="Y38" s="110"/>
    </row>
    <row r="39" spans="2:25" s="109" customFormat="1" ht="12">
      <c r="B39" s="99" t="s">
        <v>29</v>
      </c>
      <c r="C39" s="99">
        <v>97.68</v>
      </c>
      <c r="D39" s="99">
        <v>282.98</v>
      </c>
      <c r="E39" s="99">
        <v>83.29</v>
      </c>
      <c r="F39" s="99">
        <v>165.21</v>
      </c>
      <c r="G39" s="99"/>
      <c r="H39" s="99">
        <v>100.59</v>
      </c>
      <c r="I39" s="99">
        <v>100.59</v>
      </c>
      <c r="J39" s="99">
        <v>120.7</v>
      </c>
      <c r="K39" s="99">
        <v>558.41</v>
      </c>
      <c r="L39" s="99">
        <v>178.82</v>
      </c>
      <c r="M39" s="99">
        <v>178.82</v>
      </c>
      <c r="N39" s="99">
        <v>101.91</v>
      </c>
      <c r="O39" s="99">
        <f t="shared" si="5"/>
        <v>1969.0000000000002</v>
      </c>
      <c r="Y39" s="110"/>
    </row>
    <row r="40" spans="2:25" s="109" customFormat="1" ht="12">
      <c r="B40" s="99" t="s">
        <v>39</v>
      </c>
      <c r="C40" s="99">
        <v>1500</v>
      </c>
      <c r="D40" s="99"/>
      <c r="E40" s="99">
        <v>1500</v>
      </c>
      <c r="F40" s="99">
        <v>3000</v>
      </c>
      <c r="G40" s="99">
        <v>1000</v>
      </c>
      <c r="H40" s="99">
        <v>1000</v>
      </c>
      <c r="I40" s="99">
        <v>1000</v>
      </c>
      <c r="J40" s="99">
        <v>1000</v>
      </c>
      <c r="K40" s="99">
        <v>1000</v>
      </c>
      <c r="L40" s="99">
        <v>1000</v>
      </c>
      <c r="M40" s="99">
        <v>1500</v>
      </c>
      <c r="N40" s="99">
        <v>1500</v>
      </c>
      <c r="O40" s="99">
        <f t="shared" si="5"/>
        <v>15000</v>
      </c>
      <c r="Y40" s="110"/>
    </row>
    <row r="41" spans="2:25" s="109" customFormat="1" ht="12">
      <c r="B41" s="99" t="s">
        <v>40</v>
      </c>
      <c r="C41" s="99"/>
      <c r="D41" s="99"/>
      <c r="E41" s="99"/>
      <c r="F41" s="99"/>
      <c r="G41" s="99"/>
      <c r="H41" s="99">
        <v>1264.52</v>
      </c>
      <c r="I41" s="99">
        <v>1264.52</v>
      </c>
      <c r="J41" s="99">
        <v>1264.52</v>
      </c>
      <c r="K41" s="99">
        <v>1264.52</v>
      </c>
      <c r="L41" s="99"/>
      <c r="M41" s="99"/>
      <c r="N41" s="99"/>
      <c r="O41" s="99">
        <f t="shared" si="5"/>
        <v>5058.08</v>
      </c>
      <c r="Y41" s="110"/>
    </row>
    <row r="42" spans="2:25" s="109" customFormat="1" ht="12">
      <c r="B42" s="99" t="s">
        <v>41</v>
      </c>
      <c r="C42" s="99"/>
      <c r="D42" s="99"/>
      <c r="E42" s="99"/>
      <c r="F42" s="99"/>
      <c r="G42" s="99">
        <v>11543.25</v>
      </c>
      <c r="H42" s="99">
        <v>30</v>
      </c>
      <c r="I42" s="99"/>
      <c r="J42" s="99"/>
      <c r="K42" s="99"/>
      <c r="L42" s="99"/>
      <c r="M42" s="99"/>
      <c r="N42" s="99"/>
      <c r="O42" s="99">
        <f t="shared" si="5"/>
        <v>11573.25</v>
      </c>
      <c r="Y42" s="110"/>
    </row>
    <row r="43" spans="2:25" s="109" customFormat="1" ht="12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Y43" s="110"/>
    </row>
    <row r="44" spans="2:25" s="109" customFormat="1" ht="12">
      <c r="B44" s="108" t="s">
        <v>42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Y44" s="110"/>
    </row>
    <row r="45" spans="2:25" s="109" customFormat="1" ht="12">
      <c r="B45" s="99" t="s">
        <v>45</v>
      </c>
      <c r="C45" s="99">
        <v>148.27</v>
      </c>
      <c r="D45" s="99">
        <v>148.27</v>
      </c>
      <c r="E45" s="99">
        <v>148.27</v>
      </c>
      <c r="F45" s="99">
        <v>148.27</v>
      </c>
      <c r="G45" s="99">
        <v>148.27</v>
      </c>
      <c r="H45" s="99">
        <v>148.27</v>
      </c>
      <c r="I45" s="99">
        <v>148.27</v>
      </c>
      <c r="J45" s="99">
        <v>148.27</v>
      </c>
      <c r="K45" s="99">
        <v>148.27</v>
      </c>
      <c r="L45" s="99">
        <v>148.27</v>
      </c>
      <c r="M45" s="99">
        <v>148.27</v>
      </c>
      <c r="N45" s="99">
        <v>148.27</v>
      </c>
      <c r="O45" s="99">
        <f t="shared" si="5"/>
        <v>1779.24</v>
      </c>
      <c r="Y45" s="110"/>
    </row>
    <row r="46" spans="2:25" s="109" customFormat="1" ht="12">
      <c r="B46" s="99" t="s">
        <v>126</v>
      </c>
      <c r="C46" s="99">
        <v>239.25</v>
      </c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>
        <f t="shared" si="5"/>
        <v>239.25</v>
      </c>
      <c r="Y46" s="110"/>
    </row>
    <row r="47" spans="2:25" s="109" customFormat="1" ht="12">
      <c r="B47" s="99" t="s">
        <v>46</v>
      </c>
      <c r="C47" s="99"/>
      <c r="D47" s="99">
        <f>521.02+58.82</f>
        <v>579.84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>
        <f t="shared" si="5"/>
        <v>579.84</v>
      </c>
      <c r="Y47" s="110"/>
    </row>
    <row r="48" spans="2:25" s="109" customFormat="1" ht="12">
      <c r="B48" s="99" t="s">
        <v>47</v>
      </c>
      <c r="C48" s="99"/>
      <c r="D48" s="99">
        <v>117.65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>
        <f t="shared" si="5"/>
        <v>117.65</v>
      </c>
      <c r="Y48" s="110"/>
    </row>
    <row r="49" spans="2:25" s="109" customFormat="1" ht="12">
      <c r="B49" s="111" t="s">
        <v>48</v>
      </c>
      <c r="C49" s="99"/>
      <c r="D49" s="99"/>
      <c r="E49" s="99">
        <v>17.65</v>
      </c>
      <c r="F49" s="99"/>
      <c r="G49" s="99"/>
      <c r="H49" s="99"/>
      <c r="I49" s="99"/>
      <c r="J49" s="99"/>
      <c r="K49" s="99"/>
      <c r="L49" s="99"/>
      <c r="M49" s="99"/>
      <c r="N49" s="99"/>
      <c r="O49" s="99">
        <f t="shared" si="5"/>
        <v>17.65</v>
      </c>
      <c r="Y49" s="110"/>
    </row>
    <row r="50" spans="2:25" s="109" customFormat="1" ht="12">
      <c r="B50" s="99" t="s">
        <v>50</v>
      </c>
      <c r="C50" s="99"/>
      <c r="D50" s="99"/>
      <c r="E50" s="112">
        <v>126.47</v>
      </c>
      <c r="F50" s="99"/>
      <c r="G50" s="99">
        <v>893</v>
      </c>
      <c r="H50" s="99">
        <v>735</v>
      </c>
      <c r="I50" s="99"/>
      <c r="J50" s="99">
        <v>25</v>
      </c>
      <c r="K50" s="99"/>
      <c r="L50" s="99">
        <v>239.54</v>
      </c>
      <c r="M50" s="99"/>
      <c r="N50" s="99"/>
      <c r="O50" s="99">
        <f t="shared" si="5"/>
        <v>2019.01</v>
      </c>
      <c r="Y50" s="110"/>
    </row>
    <row r="51" spans="2:25" s="109" customFormat="1" ht="12">
      <c r="B51" s="99" t="s">
        <v>67</v>
      </c>
      <c r="C51" s="99"/>
      <c r="D51" s="99"/>
      <c r="E51" s="99"/>
      <c r="F51" s="99"/>
      <c r="G51" s="99"/>
      <c r="H51" s="99">
        <v>15000</v>
      </c>
      <c r="I51" s="99"/>
      <c r="J51" s="99"/>
      <c r="K51" s="99"/>
      <c r="L51" s="99"/>
      <c r="M51" s="99"/>
      <c r="N51" s="99"/>
      <c r="O51" s="99">
        <f t="shared" si="5"/>
        <v>15000</v>
      </c>
      <c r="Y51" s="110"/>
    </row>
    <row r="52" spans="2:25" s="109" customFormat="1" ht="12">
      <c r="B52" s="99" t="s">
        <v>51</v>
      </c>
      <c r="C52" s="99"/>
      <c r="D52" s="99"/>
      <c r="E52" s="99"/>
      <c r="F52" s="99"/>
      <c r="G52" s="99"/>
      <c r="H52" s="99">
        <f>690+266+140</f>
        <v>1096</v>
      </c>
      <c r="I52" s="99">
        <v>760</v>
      </c>
      <c r="J52" s="99"/>
      <c r="K52" s="99">
        <v>180</v>
      </c>
      <c r="L52" s="99"/>
      <c r="M52" s="99"/>
      <c r="N52" s="99"/>
      <c r="O52" s="99">
        <f t="shared" si="5"/>
        <v>2036</v>
      </c>
      <c r="Y52" s="110"/>
    </row>
    <row r="53" spans="2:25" s="109" customFormat="1" ht="12">
      <c r="B53" s="99" t="s">
        <v>118</v>
      </c>
      <c r="C53" s="99"/>
      <c r="D53" s="99">
        <v>2000</v>
      </c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>
        <f t="shared" si="5"/>
        <v>2000</v>
      </c>
      <c r="Y53" s="110"/>
    </row>
    <row r="54" spans="2:25" s="109" customFormat="1" ht="12">
      <c r="B54" s="99" t="s">
        <v>130</v>
      </c>
      <c r="C54" s="99"/>
      <c r="D54" s="99"/>
      <c r="E54" s="99"/>
      <c r="F54" s="99"/>
      <c r="G54" s="99"/>
      <c r="H54" s="99"/>
      <c r="I54" s="99">
        <v>161.76</v>
      </c>
      <c r="J54" s="99"/>
      <c r="K54" s="99"/>
      <c r="L54" s="99"/>
      <c r="M54" s="99"/>
      <c r="N54" s="99"/>
      <c r="O54" s="99">
        <f t="shared" si="5"/>
        <v>161.76</v>
      </c>
      <c r="Y54" s="110"/>
    </row>
    <row r="55" spans="2:25" s="109" customFormat="1" ht="12">
      <c r="B55" s="111" t="s">
        <v>139</v>
      </c>
      <c r="C55" s="99"/>
      <c r="D55" s="99"/>
      <c r="E55" s="99"/>
      <c r="F55" s="99"/>
      <c r="G55" s="99"/>
      <c r="H55" s="99"/>
      <c r="I55" s="99"/>
      <c r="J55" s="99">
        <v>26.26</v>
      </c>
      <c r="K55" s="99"/>
      <c r="L55" s="99"/>
      <c r="M55" s="99"/>
      <c r="N55" s="99"/>
      <c r="O55" s="99">
        <f t="shared" si="5"/>
        <v>26.26</v>
      </c>
      <c r="Y55" s="110"/>
    </row>
    <row r="56" spans="2:25" s="109" customFormat="1" ht="12">
      <c r="B56" s="99" t="s">
        <v>155</v>
      </c>
      <c r="C56" s="99"/>
      <c r="D56" s="99"/>
      <c r="E56" s="99"/>
      <c r="F56" s="99"/>
      <c r="G56" s="99"/>
      <c r="H56" s="99"/>
      <c r="I56" s="99"/>
      <c r="J56" s="99">
        <v>175.09</v>
      </c>
      <c r="K56" s="99"/>
      <c r="L56" s="99">
        <v>195.38</v>
      </c>
      <c r="M56" s="99">
        <v>195.38</v>
      </c>
      <c r="N56" s="99">
        <v>260.51</v>
      </c>
      <c r="O56" s="99">
        <f t="shared" si="5"/>
        <v>826.36</v>
      </c>
      <c r="Y56" s="110"/>
    </row>
    <row r="57" spans="2:25" s="109" customFormat="1" ht="12">
      <c r="B57" s="99" t="s">
        <v>156</v>
      </c>
      <c r="C57" s="99"/>
      <c r="D57" s="99"/>
      <c r="E57" s="99"/>
      <c r="F57" s="99"/>
      <c r="G57" s="99"/>
      <c r="H57" s="99"/>
      <c r="I57" s="99"/>
      <c r="J57" s="99">
        <v>22.76</v>
      </c>
      <c r="K57" s="99"/>
      <c r="L57" s="99"/>
      <c r="M57" s="99"/>
      <c r="N57" s="99"/>
      <c r="O57" s="99">
        <f t="shared" si="5"/>
        <v>22.76</v>
      </c>
      <c r="Y57" s="110"/>
    </row>
    <row r="58" spans="2:25" s="109" customFormat="1" ht="12">
      <c r="B58" s="99" t="s">
        <v>157</v>
      </c>
      <c r="C58" s="99"/>
      <c r="D58" s="99"/>
      <c r="E58" s="99"/>
      <c r="F58" s="99"/>
      <c r="G58" s="99"/>
      <c r="H58" s="99"/>
      <c r="I58" s="99"/>
      <c r="J58" s="99"/>
      <c r="K58" s="99">
        <v>160.75</v>
      </c>
      <c r="L58" s="99"/>
      <c r="M58" s="99"/>
      <c r="N58" s="99"/>
      <c r="O58" s="99">
        <f t="shared" si="5"/>
        <v>160.75</v>
      </c>
      <c r="Y58" s="110"/>
    </row>
    <row r="59" spans="2:25" s="109" customFormat="1" ht="12">
      <c r="B59" s="99" t="s">
        <v>158</v>
      </c>
      <c r="C59" s="99"/>
      <c r="D59" s="99"/>
      <c r="E59" s="99"/>
      <c r="F59" s="99"/>
      <c r="G59" s="99"/>
      <c r="H59" s="99"/>
      <c r="I59" s="99"/>
      <c r="J59" s="99"/>
      <c r="K59" s="99">
        <v>8856.67</v>
      </c>
      <c r="L59" s="99"/>
      <c r="M59" s="99"/>
      <c r="N59" s="99"/>
      <c r="O59" s="99">
        <f t="shared" si="5"/>
        <v>8856.67</v>
      </c>
      <c r="Y59" s="110"/>
    </row>
    <row r="60" spans="2:25" s="109" customFormat="1" ht="12">
      <c r="B60" s="99" t="s">
        <v>159</v>
      </c>
      <c r="C60" s="99"/>
      <c r="D60" s="99"/>
      <c r="E60" s="99"/>
      <c r="F60" s="99"/>
      <c r="G60" s="99"/>
      <c r="H60" s="99"/>
      <c r="I60" s="99"/>
      <c r="J60" s="99"/>
      <c r="K60" s="99">
        <v>17.5</v>
      </c>
      <c r="L60" s="99"/>
      <c r="M60" s="99"/>
      <c r="N60" s="99"/>
      <c r="O60" s="99">
        <f t="shared" si="5"/>
        <v>17.5</v>
      </c>
      <c r="Y60" s="110"/>
    </row>
    <row r="61" spans="2:25" s="109" customFormat="1" ht="12">
      <c r="B61" s="99" t="s">
        <v>223</v>
      </c>
      <c r="C61" s="99"/>
      <c r="D61" s="99"/>
      <c r="E61" s="99"/>
      <c r="F61" s="99"/>
      <c r="G61" s="99"/>
      <c r="H61" s="99"/>
      <c r="I61" s="99"/>
      <c r="J61" s="99">
        <v>250</v>
      </c>
      <c r="K61" s="99"/>
      <c r="L61" s="99"/>
      <c r="M61" s="99"/>
      <c r="N61" s="99"/>
      <c r="O61" s="99">
        <f t="shared" si="5"/>
        <v>250</v>
      </c>
      <c r="Y61" s="110"/>
    </row>
    <row r="62" spans="2:25" s="109" customFormat="1" ht="12">
      <c r="B62" s="99" t="s">
        <v>161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>
        <v>240.97</v>
      </c>
      <c r="N62" s="99"/>
      <c r="O62" s="99">
        <f t="shared" si="5"/>
        <v>240.97</v>
      </c>
      <c r="Y62" s="110"/>
    </row>
    <row r="63" spans="2:25" s="109" customFormat="1" ht="12">
      <c r="B63" s="99" t="s">
        <v>167</v>
      </c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>
        <v>10.31</v>
      </c>
      <c r="N63" s="99"/>
      <c r="O63" s="99">
        <f t="shared" si="5"/>
        <v>10.31</v>
      </c>
      <c r="Y63" s="110"/>
    </row>
    <row r="64" spans="2:25" s="109" customFormat="1" ht="12">
      <c r="B64" s="99" t="s">
        <v>168</v>
      </c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>
        <v>58.36</v>
      </c>
      <c r="O64" s="99">
        <f t="shared" si="5"/>
        <v>58.36</v>
      </c>
      <c r="Y64" s="110"/>
    </row>
    <row r="65" spans="2:25" s="109" customFormat="1" ht="12"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>
        <f t="shared" si="5"/>
        <v>0</v>
      </c>
      <c r="Y65" s="110"/>
    </row>
    <row r="66" spans="2:25" s="109" customFormat="1" ht="12">
      <c r="B66" s="108" t="s">
        <v>16</v>
      </c>
      <c r="C66" s="108">
        <f aca="true" t="shared" si="6" ref="C66:O66">SUM(C30:C65)</f>
        <v>23179.300000000003</v>
      </c>
      <c r="D66" s="108">
        <f t="shared" si="6"/>
        <v>28430.990000000005</v>
      </c>
      <c r="E66" s="108">
        <f t="shared" si="6"/>
        <v>22948.180000000008</v>
      </c>
      <c r="F66" s="108">
        <f t="shared" si="6"/>
        <v>24166.13</v>
      </c>
      <c r="G66" s="108">
        <f t="shared" si="6"/>
        <v>34802.200000000004</v>
      </c>
      <c r="H66" s="108">
        <f t="shared" si="6"/>
        <v>44025.98</v>
      </c>
      <c r="I66" s="108">
        <f t="shared" si="6"/>
        <v>27369.2</v>
      </c>
      <c r="J66" s="108">
        <f t="shared" si="6"/>
        <v>23683.469999999998</v>
      </c>
      <c r="K66" s="108">
        <f t="shared" si="6"/>
        <v>35725.950000000004</v>
      </c>
      <c r="L66" s="108">
        <f t="shared" si="6"/>
        <v>27753.75</v>
      </c>
      <c r="M66" s="108">
        <f t="shared" si="6"/>
        <v>23749.120000000006</v>
      </c>
      <c r="N66" s="108">
        <f t="shared" si="6"/>
        <v>30394.039999999997</v>
      </c>
      <c r="O66" s="108">
        <f t="shared" si="6"/>
        <v>347395.55000000005</v>
      </c>
      <c r="Y66" s="110"/>
    </row>
    <row r="68" spans="2:15" ht="12">
      <c r="B68" s="152" t="s">
        <v>149</v>
      </c>
      <c r="C68" s="153" t="e">
        <f aca="true" t="shared" si="7" ref="C68:O68">C10+C22-C66</f>
        <v>#REF!</v>
      </c>
      <c r="D68" s="153" t="e">
        <f t="shared" si="7"/>
        <v>#REF!</v>
      </c>
      <c r="E68" s="153" t="e">
        <f t="shared" si="7"/>
        <v>#REF!</v>
      </c>
      <c r="F68" s="153" t="e">
        <f t="shared" si="7"/>
        <v>#REF!</v>
      </c>
      <c r="G68" s="153" t="e">
        <f t="shared" si="7"/>
        <v>#REF!</v>
      </c>
      <c r="H68" s="153" t="e">
        <f t="shared" si="7"/>
        <v>#REF!</v>
      </c>
      <c r="I68" s="153" t="e">
        <f t="shared" si="7"/>
        <v>#REF!</v>
      </c>
      <c r="J68" s="153" t="e">
        <f t="shared" si="7"/>
        <v>#REF!</v>
      </c>
      <c r="K68" s="153" t="e">
        <f t="shared" si="7"/>
        <v>#REF!</v>
      </c>
      <c r="L68" s="153" t="e">
        <f t="shared" si="7"/>
        <v>#REF!</v>
      </c>
      <c r="M68" s="153" t="e">
        <f t="shared" si="7"/>
        <v>#REF!</v>
      </c>
      <c r="N68" s="153" t="e">
        <f t="shared" si="7"/>
        <v>#REF!</v>
      </c>
      <c r="O68" s="154">
        <f t="shared" si="7"/>
        <v>96191.30999999994</v>
      </c>
    </row>
    <row r="69" spans="2:15" ht="12"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4"/>
    </row>
    <row r="70" spans="2:15" ht="12" hidden="1">
      <c r="B70" s="185"/>
      <c r="C70" s="186"/>
      <c r="D70" s="186"/>
      <c r="E70" s="186"/>
      <c r="F70" s="186"/>
      <c r="G70" s="186"/>
      <c r="H70" s="186"/>
      <c r="I70" s="186"/>
      <c r="J70" s="186"/>
      <c r="K70" s="186"/>
      <c r="L70" s="186"/>
      <c r="M70" s="186"/>
      <c r="N70" s="186"/>
      <c r="O70" s="182"/>
    </row>
    <row r="71" spans="2:15" s="87" customFormat="1" ht="12"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</row>
    <row r="72" spans="2:15" s="87" customFormat="1" ht="12">
      <c r="B72" s="117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</row>
    <row r="73" spans="2:15" s="87" customFormat="1" ht="12"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89"/>
    </row>
    <row r="74" ht="12">
      <c r="B74" s="86" t="s">
        <v>24</v>
      </c>
    </row>
    <row r="75" ht="12">
      <c r="B75" s="86" t="s">
        <v>25</v>
      </c>
    </row>
  </sheetData>
  <sheetProtection selectLockedCells="1" selectUnlockedCells="1"/>
  <mergeCells count="3">
    <mergeCell ref="B1:O1"/>
    <mergeCell ref="B2:O2"/>
    <mergeCell ref="B3:O3"/>
  </mergeCells>
  <printOptions/>
  <pageMargins left="0.31496062992125984" right="0.2362204724409449" top="0.35433070866141736" bottom="0.4330708661417323" header="0.7874015748031497" footer="0.7874015748031497"/>
  <pageSetup horizontalDpi="300" verticalDpi="300" orientation="portrait" paperSize="9" scale="90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2017-03-02T23:50:31Z</cp:lastPrinted>
  <dcterms:modified xsi:type="dcterms:W3CDTF">2017-03-13T00:50:18Z</dcterms:modified>
  <cp:category/>
  <cp:version/>
  <cp:contentType/>
  <cp:contentStatus/>
</cp:coreProperties>
</file>