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815" firstSheet="4" activeTab="15"/>
  </bookViews>
  <sheets>
    <sheet name="Ком 33" sheetId="1" r:id="rId1"/>
    <sheet name="кал 3" sheetId="2" r:id="rId2"/>
    <sheet name="шос 21" sheetId="3" r:id="rId3"/>
    <sheet name="Шос 67" sheetId="4" r:id="rId4"/>
    <sheet name="шол 33" sheetId="5" r:id="rId5"/>
    <sheet name="шол 33а" sheetId="6" r:id="rId6"/>
    <sheet name="шол 33б" sheetId="7" r:id="rId7"/>
    <sheet name="шол 35" sheetId="8" r:id="rId8"/>
    <sheet name="клуб 1" sheetId="9" r:id="rId9"/>
    <sheet name="клуб 3" sheetId="10" r:id="rId10"/>
    <sheet name="лен 32" sheetId="11" r:id="rId11"/>
    <sheet name="к м 58" sheetId="12" r:id="rId12"/>
    <sheet name="к м 73" sheetId="13" r:id="rId13"/>
    <sheet name="каз 16" sheetId="14" r:id="rId14"/>
    <sheet name="каз 16а" sheetId="15" r:id="rId15"/>
    <sheet name="шос 31" sheetId="16" r:id="rId16"/>
  </sheets>
  <definedNames/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M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<sst xmlns="http://schemas.openxmlformats.org/spreadsheetml/2006/main" count="791" uniqueCount="132">
  <si>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</si>
  <si>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</si>
  <si>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</si>
  <si>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</si>
  <si>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</si>
  <si>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</si>
  <si>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</si>
  <si>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</si>
  <si>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</si>
  <si>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</si>
  <si>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</si>
  <si>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</si>
  <si>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</si>
  <si>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тех.содержание</t>
  </si>
  <si>
    <t>Итого:</t>
  </si>
  <si>
    <t>НАЧИСЛЕНЫ платежи населения</t>
  </si>
  <si>
    <t>ПОСТУПИЛИ платежи населения</t>
  </si>
  <si>
    <t>% сбора</t>
  </si>
  <si>
    <t>Задолжен. по пл. населения .</t>
  </si>
  <si>
    <t>РАСХОД</t>
  </si>
  <si>
    <t>% банка</t>
  </si>
  <si>
    <t>Исп.Пуцкова Т.В.</t>
  </si>
  <si>
    <t>3-17-04</t>
  </si>
  <si>
    <t>Газ текущие платежи   (АДС; тех.обсл.)</t>
  </si>
  <si>
    <t>Обследование жилого фонда(ГСМ)</t>
  </si>
  <si>
    <t>Домофон</t>
  </si>
  <si>
    <t xml:space="preserve">ТБО </t>
  </si>
  <si>
    <t xml:space="preserve"> АДС</t>
  </si>
  <si>
    <t>Вознаграждение  ДЭК</t>
  </si>
  <si>
    <t>ООО"Истим" (обслуж.тепловых счетчиков</t>
  </si>
  <si>
    <t>Паспортист</t>
  </si>
  <si>
    <t>Расходы на сбор платежей населения</t>
  </si>
  <si>
    <r>
      <t>% УПК ООО"Райкоммунсбыт</t>
    </r>
    <r>
      <rPr>
        <b/>
        <sz val="8"/>
        <rFont val="Arial Cyr"/>
        <family val="0"/>
      </rPr>
      <t>"</t>
    </r>
  </si>
  <si>
    <t>обслуживание теплового счетчика</t>
  </si>
  <si>
    <t>Уборка придомовой территории</t>
  </si>
  <si>
    <t>Окашивание придомовой территории</t>
  </si>
  <si>
    <t>Промывка отопительной системы</t>
  </si>
  <si>
    <t>Аренда склада</t>
  </si>
  <si>
    <t>Материалы</t>
  </si>
  <si>
    <t>Остаток на 01.01.2018г.</t>
  </si>
  <si>
    <t>2732,7 м2</t>
  </si>
  <si>
    <t>351,9 м2</t>
  </si>
  <si>
    <t>488,5 м2</t>
  </si>
  <si>
    <t>355,2 м2</t>
  </si>
  <si>
    <t>713,6 м2</t>
  </si>
  <si>
    <t>718 м2</t>
  </si>
  <si>
    <t>Заказное письмо</t>
  </si>
  <si>
    <t>Отчистка снега с крыши</t>
  </si>
  <si>
    <t>Ремонт в подвале</t>
  </si>
  <si>
    <t>Лицензия годовая КРИПТО АРМ</t>
  </si>
  <si>
    <t>Бумага</t>
  </si>
  <si>
    <t>Ремонт входных дверей</t>
  </si>
  <si>
    <t>Очистка снега с крыши</t>
  </si>
  <si>
    <t>Ремонт метал. козырька на вентиляц.шахте</t>
  </si>
  <si>
    <t>Работа погрузчика</t>
  </si>
  <si>
    <t>Текущий ремонт цокалей здания</t>
  </si>
  <si>
    <t>Ремонт водосточн. систему жил/дома</t>
  </si>
  <si>
    <t>Текущий ремонт кровли</t>
  </si>
  <si>
    <t>Текущий ремонт цоколей здания</t>
  </si>
  <si>
    <t>Ремонт крыши жилого дома</t>
  </si>
  <si>
    <t>РЕМОНТ ВДГО</t>
  </si>
  <si>
    <t>Изготовление козырька из листов. стали</t>
  </si>
  <si>
    <t>Ремонт мягкой кровли</t>
  </si>
  <si>
    <t>Очистка снега</t>
  </si>
  <si>
    <t>Уборка снега</t>
  </si>
  <si>
    <t>не идет</t>
  </si>
  <si>
    <t>Демонтаж щитов на продухах подв.помещен.</t>
  </si>
  <si>
    <t>Изготовление трубопровода ХВС</t>
  </si>
  <si>
    <t>Ремонт деревянной горки</t>
  </si>
  <si>
    <t>Замена трансформаторов тока</t>
  </si>
  <si>
    <t>Прочистка вентял. каналов</t>
  </si>
  <si>
    <t>Ремонт водосточной системы</t>
  </si>
  <si>
    <t>Побелка подьездовс учетом материал</t>
  </si>
  <si>
    <t>Ремонт розлива ХВС</t>
  </si>
  <si>
    <t>Ремонт кровли</t>
  </si>
  <si>
    <t>Ремонт батареи отопления в подьезде №2</t>
  </si>
  <si>
    <t>Ремонт крыльца</t>
  </si>
  <si>
    <t>Доставка земли, песка</t>
  </si>
  <si>
    <t>Доставка чернозема</t>
  </si>
  <si>
    <t>Ремонт шиферной кровли</t>
  </si>
  <si>
    <t>Установка насоса</t>
  </si>
  <si>
    <t>Установка двери в подвале</t>
  </si>
  <si>
    <t>Ремонт розлива стояка водоснабжения</t>
  </si>
  <si>
    <t>Ремонт стояка ХВС в подьезде №4</t>
  </si>
  <si>
    <t>Ремонт 2х кирпичн.продухов приямков 1подьезд</t>
  </si>
  <si>
    <t>Ремонт входной двери в тамбуре 2-го подьез</t>
  </si>
  <si>
    <t>Ремонт элеваторного узла теплоснабжен.</t>
  </si>
  <si>
    <t>Установка ноаого сливного желоба</t>
  </si>
  <si>
    <t>Контрольная прочиства вент. шахты</t>
  </si>
  <si>
    <t>Ремонт 1 подьезда с учетов материалов</t>
  </si>
  <si>
    <t>Закрытие продухов в подвале дома</t>
  </si>
  <si>
    <t>Ремонт и монтаж заград. устройства</t>
  </si>
  <si>
    <t>Ремонт балконной плиты с учетом материалов</t>
  </si>
  <si>
    <t>Частич.оштукатур.,побелка и покраска стен и дверей с материалами</t>
  </si>
  <si>
    <t>Прочистка водокач.системы и откачка воды насосом</t>
  </si>
  <si>
    <t>Ремонт качель и подсыпка щебнем прид/терр</t>
  </si>
  <si>
    <t>Ремонт розлива системы теплоснабжения</t>
  </si>
  <si>
    <t>Изоляция трубопровода</t>
  </si>
  <si>
    <t>Разборка горки, установка перехода</t>
  </si>
  <si>
    <t>Ремонт кладовой,закрытие продухов,частич.демонтаж трубопров.отопления</t>
  </si>
  <si>
    <t>Демонтаж трубопровода</t>
  </si>
  <si>
    <t>Демонтаж светильников</t>
  </si>
  <si>
    <t>Побелка и покраска подьезда №2</t>
  </si>
  <si>
    <t>Очистка элеваторного узла</t>
  </si>
  <si>
    <t xml:space="preserve">об исполнении договора управления МКД </t>
  </si>
  <si>
    <t>ОТЧЕТ ООО "Райкоммунсбыт"</t>
  </si>
  <si>
    <t>за  2018г.</t>
  </si>
  <si>
    <t>Эксплуатационные расходы</t>
  </si>
  <si>
    <t>Очистка с крыши строит. и бытового мусора</t>
  </si>
  <si>
    <t>Остаток  на 01.11.2018г.</t>
  </si>
  <si>
    <t>Ремонт метал. поручня</t>
  </si>
  <si>
    <t>по адресу: ул.Коммунистическая,33</t>
  </si>
  <si>
    <t>по адресу: ул.Калинина,3</t>
  </si>
  <si>
    <t>по адресу: ул.Шоссейная,21</t>
  </si>
  <si>
    <t>по адресу: ул.Шоссейная,67</t>
  </si>
  <si>
    <t>по адресу: ул.Шолохова,33</t>
  </si>
  <si>
    <t>по адресу: ул.Шолохова,33а</t>
  </si>
  <si>
    <t>по адресу: ул.Шолохова,33б</t>
  </si>
  <si>
    <t>Обрезка деревьев на придом. территории</t>
  </si>
  <si>
    <t>Очистка водосточн. желобов</t>
  </si>
  <si>
    <t>по адресу: ул.Шолохова,35</t>
  </si>
  <si>
    <t>по адресу: пер.Клубный,1</t>
  </si>
  <si>
    <t>по адресу: пер.Клубный,3</t>
  </si>
  <si>
    <t>по адресу: ул.Ленина,32</t>
  </si>
  <si>
    <t>по адресу: ул.Карла Маркса,58</t>
  </si>
  <si>
    <r>
      <t>% УПК ООО"Райкоммунсбыт</t>
    </r>
    <r>
      <rPr>
        <b/>
        <sz val="8"/>
        <rFont val="Arial Cyr"/>
        <family val="2"/>
      </rPr>
      <t>"</t>
    </r>
  </si>
  <si>
    <t>по адресу: ул.Карла Маркса,73</t>
  </si>
  <si>
    <t>по адресу: ул.Казачья,16</t>
  </si>
  <si>
    <t>по адресу: ул.Казачья,16А</t>
  </si>
  <si>
    <t>по адресу: ул.Шоссейная,31</t>
  </si>
  <si>
    <t>Ремонт крыши</t>
  </si>
  <si>
    <t>Остаток  на 01.12.2018г.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</si>
</sst>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</numFmts>
  <fonts count="4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0" fontId="2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0" fontId="3" fillId="33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10" fontId="2" fillId="39" borderId="10" xfId="0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2" fillId="39" borderId="0" xfId="0" applyFont="1" applyFill="1" applyAlignment="1">
      <alignment/>
    </xf>
    <xf numFmtId="0" fontId="2" fillId="4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5" borderId="10" xfId="0" applyFont="1" applyFill="1" applyBorder="1" applyAlignment="1">
      <alignment/>
    </xf>
    <xf numFmtId="2" fontId="3" fillId="4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3DEB3D"/>
      <rgbColor rgb="00E6E64C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3"/>
  <sheetViews>
    <sheetView zoomScale="90" zoomScaleNormal="90" zoomScalePageLayoutView="0" workbookViewId="0" topLeftCell="A1">
      <pane xSplit="2" ySplit="7" topLeftCell="H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2" sqref="Q61:Q62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8.62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2">
      <c r="B1" s="44" t="s">
        <v>105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2:16" ht="12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2:16" ht="12">
      <c r="B3" s="45" t="s">
        <v>106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"/>
    </row>
    <row r="4" spans="2:16" ht="12">
      <c r="B4" s="45" t="s">
        <v>111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"/>
    </row>
    <row r="5" spans="2:16" ht="1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1"/>
    </row>
    <row r="6" spans="2:15" ht="11.25">
      <c r="B6" s="6" t="s">
        <v>40</v>
      </c>
      <c r="C6" s="5"/>
      <c r="D6" s="5"/>
      <c r="E6" s="5"/>
      <c r="F6" s="5"/>
      <c r="G6" s="27"/>
      <c r="H6" s="5"/>
      <c r="I6" s="5"/>
      <c r="J6" s="5"/>
      <c r="K6" s="5"/>
      <c r="L6" s="5"/>
      <c r="M6" s="5"/>
      <c r="N6" s="5"/>
      <c r="O6" s="4"/>
    </row>
    <row r="7" spans="2:15" ht="11.25">
      <c r="B7" s="5"/>
      <c r="C7" s="5" t="s">
        <v>0</v>
      </c>
      <c r="D7" s="5" t="s">
        <v>1</v>
      </c>
      <c r="E7" s="5" t="s">
        <v>2</v>
      </c>
      <c r="F7" s="5" t="s">
        <v>3</v>
      </c>
      <c r="G7" s="27" t="s">
        <v>4</v>
      </c>
      <c r="H7" s="5" t="s">
        <v>5</v>
      </c>
      <c r="I7" s="5" t="s">
        <v>6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11</v>
      </c>
      <c r="O7" s="6" t="s">
        <v>12</v>
      </c>
    </row>
    <row r="8" spans="2:15" ht="11.25">
      <c r="B8" s="5"/>
      <c r="C8" s="5"/>
      <c r="D8" s="5"/>
      <c r="E8" s="5"/>
      <c r="F8" s="5"/>
      <c r="G8" s="27"/>
      <c r="H8" s="5"/>
      <c r="I8" s="5"/>
      <c r="J8" s="5"/>
      <c r="K8" s="5"/>
      <c r="L8" s="5"/>
      <c r="M8" s="5"/>
      <c r="N8" s="5"/>
      <c r="O8" s="4"/>
    </row>
    <row r="9" spans="2:15" ht="11.25">
      <c r="B9" s="4" t="s">
        <v>39</v>
      </c>
      <c r="C9" s="5"/>
      <c r="D9" s="5"/>
      <c r="E9" s="5"/>
      <c r="F9" s="5"/>
      <c r="G9" s="27"/>
      <c r="H9" s="5"/>
      <c r="I9" s="5"/>
      <c r="J9" s="5"/>
      <c r="K9" s="5"/>
      <c r="L9" s="5"/>
      <c r="M9" s="5"/>
      <c r="N9" s="5"/>
      <c r="O9" s="4"/>
    </row>
    <row r="10" spans="2:15" ht="11.25">
      <c r="B10" s="5" t="s">
        <v>13</v>
      </c>
      <c r="C10" s="5">
        <v>13597.91</v>
      </c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5">
        <f>C10+D10+E10+F10+G10+H10+I10+J10+K10+L10+M10+N10</f>
        <v>13597.91</v>
      </c>
    </row>
    <row r="11" spans="2:15" s="3" customFormat="1" ht="11.25">
      <c r="B11" s="4" t="s">
        <v>14</v>
      </c>
      <c r="C11" s="4">
        <f>C10</f>
        <v>13597.91</v>
      </c>
      <c r="D11" s="4">
        <f aca="true" t="shared" si="0" ref="D11:I11">C60</f>
        <v>832.2200000000012</v>
      </c>
      <c r="E11" s="4">
        <f t="shared" si="0"/>
        <v>15496.04</v>
      </c>
      <c r="F11" s="4">
        <f t="shared" si="0"/>
        <v>6991.389999999999</v>
      </c>
      <c r="G11" s="28">
        <f t="shared" si="0"/>
        <v>8587.669999999984</v>
      </c>
      <c r="H11" s="4">
        <f t="shared" si="0"/>
        <v>5942.979999999989</v>
      </c>
      <c r="I11" s="4">
        <f t="shared" si="0"/>
        <v>11707.679999999986</v>
      </c>
      <c r="J11" s="4">
        <f>I60</f>
        <v>9726.68999999998</v>
      </c>
      <c r="K11" s="4">
        <f>J60</f>
        <v>27724.35999999998</v>
      </c>
      <c r="L11" s="4">
        <f>K60</f>
        <v>36805.61999999997</v>
      </c>
      <c r="M11" s="4">
        <f>L60</f>
        <v>36668.08999999998</v>
      </c>
      <c r="N11" s="4">
        <f>M60</f>
        <v>21092.269999999986</v>
      </c>
      <c r="O11" s="4">
        <f>O10</f>
        <v>13597.91</v>
      </c>
    </row>
    <row r="12" spans="2:15" ht="11.25">
      <c r="B12" s="5"/>
      <c r="C12" s="5"/>
      <c r="D12" s="5"/>
      <c r="E12" s="5"/>
      <c r="F12" s="5"/>
      <c r="G12" s="27"/>
      <c r="H12" s="5"/>
      <c r="I12" s="5"/>
      <c r="J12" s="5"/>
      <c r="K12" s="5"/>
      <c r="L12" s="5"/>
      <c r="M12" s="5"/>
      <c r="N12" s="5"/>
      <c r="O12" s="4"/>
    </row>
    <row r="13" spans="2:15" ht="11.25">
      <c r="B13" s="5"/>
      <c r="C13" s="5"/>
      <c r="D13" s="5"/>
      <c r="E13" s="5"/>
      <c r="F13" s="5"/>
      <c r="G13" s="27"/>
      <c r="H13" s="5"/>
      <c r="I13" s="5"/>
      <c r="J13" s="5"/>
      <c r="K13" s="5"/>
      <c r="L13" s="5"/>
      <c r="M13" s="5"/>
      <c r="N13" s="5"/>
      <c r="O13" s="4"/>
    </row>
    <row r="14" spans="2:25" s="10" customFormat="1" ht="11.25">
      <c r="B14" s="8" t="s">
        <v>15</v>
      </c>
      <c r="C14" s="9"/>
      <c r="D14" s="9"/>
      <c r="E14" s="9"/>
      <c r="F14" s="9"/>
      <c r="G14" s="29"/>
      <c r="H14" s="9"/>
      <c r="I14" s="9"/>
      <c r="J14" s="9"/>
      <c r="K14" s="9"/>
      <c r="L14" s="9"/>
      <c r="M14" s="9"/>
      <c r="N14" s="9"/>
      <c r="O14" s="8"/>
      <c r="Y14" s="11"/>
    </row>
    <row r="15" spans="2:25" s="10" customFormat="1" ht="11.25">
      <c r="B15" s="9" t="s">
        <v>13</v>
      </c>
      <c r="C15" s="9">
        <v>66431.94</v>
      </c>
      <c r="D15" s="9">
        <v>66431.94</v>
      </c>
      <c r="E15" s="9">
        <v>66431.94</v>
      </c>
      <c r="F15" s="9">
        <v>66431.94</v>
      </c>
      <c r="G15" s="9">
        <v>66431.94</v>
      </c>
      <c r="H15" s="9">
        <v>66431.94</v>
      </c>
      <c r="I15" s="9">
        <v>66431.94</v>
      </c>
      <c r="J15" s="9">
        <v>66431.94</v>
      </c>
      <c r="K15" s="9">
        <v>66431.94</v>
      </c>
      <c r="L15" s="9">
        <v>63043.39</v>
      </c>
      <c r="M15" s="9">
        <v>63043.39</v>
      </c>
      <c r="N15" s="9"/>
      <c r="O15" s="9">
        <f>C15+D15+E15+F15+G15+H15+I15+J15+K15+L15+M15+N15</f>
        <v>723974.24</v>
      </c>
      <c r="Y15" s="11"/>
    </row>
    <row r="16" spans="2:25" s="10" customFormat="1" ht="11.25">
      <c r="B16" s="9" t="s">
        <v>33</v>
      </c>
      <c r="C16" s="9"/>
      <c r="D16" s="9"/>
      <c r="E16" s="9"/>
      <c r="F16" s="9"/>
      <c r="G16" s="29"/>
      <c r="H16" s="9"/>
      <c r="I16" s="9"/>
      <c r="J16" s="9"/>
      <c r="K16" s="9"/>
      <c r="L16" s="9">
        <v>5000.84</v>
      </c>
      <c r="M16" s="9">
        <v>5000.84</v>
      </c>
      <c r="N16" s="9"/>
      <c r="O16" s="9">
        <f>C16+D16+E16+F16+G16+H16+I16+J16+K16+L16+M16+N16</f>
        <v>10001.68</v>
      </c>
      <c r="Y16" s="11"/>
    </row>
    <row r="17" spans="2:25" s="10" customFormat="1" ht="11.25">
      <c r="B17" s="16"/>
      <c r="C17" s="9"/>
      <c r="D17" s="9"/>
      <c r="E17" s="9"/>
      <c r="F17" s="9"/>
      <c r="G17" s="29"/>
      <c r="H17" s="9"/>
      <c r="I17" s="9"/>
      <c r="J17" s="9"/>
      <c r="K17" s="9"/>
      <c r="L17" s="9"/>
      <c r="M17" s="9"/>
      <c r="N17" s="9"/>
      <c r="O17" s="9"/>
      <c r="Y17" s="11"/>
    </row>
    <row r="18" spans="2:15" s="11" customFormat="1" ht="11.25">
      <c r="B18" s="8" t="s">
        <v>14</v>
      </c>
      <c r="C18" s="8">
        <f aca="true" t="shared" si="1" ref="C18:N18">SUM(C13:C16)</f>
        <v>66431.94</v>
      </c>
      <c r="D18" s="8">
        <f t="shared" si="1"/>
        <v>66431.94</v>
      </c>
      <c r="E18" s="8">
        <f t="shared" si="1"/>
        <v>66431.94</v>
      </c>
      <c r="F18" s="8">
        <f t="shared" si="1"/>
        <v>66431.94</v>
      </c>
      <c r="G18" s="30">
        <f t="shared" si="1"/>
        <v>66431.94</v>
      </c>
      <c r="H18" s="8">
        <f t="shared" si="1"/>
        <v>66431.94</v>
      </c>
      <c r="I18" s="8">
        <f t="shared" si="1"/>
        <v>66431.94</v>
      </c>
      <c r="J18" s="8">
        <f t="shared" si="1"/>
        <v>66431.94</v>
      </c>
      <c r="K18" s="8">
        <f t="shared" si="1"/>
        <v>66431.94</v>
      </c>
      <c r="L18" s="8">
        <f t="shared" si="1"/>
        <v>68044.23</v>
      </c>
      <c r="M18" s="8">
        <f t="shared" si="1"/>
        <v>68044.23</v>
      </c>
      <c r="N18" s="8">
        <f t="shared" si="1"/>
        <v>0</v>
      </c>
      <c r="O18" s="8">
        <f>C18+D18+E18+F18+G18+H18+I18+J18+K18+L18+M18+N18</f>
        <v>733975.9199999999</v>
      </c>
    </row>
    <row r="19" spans="2:15" ht="11.25">
      <c r="B19" s="5"/>
      <c r="C19" s="5"/>
      <c r="D19" s="5"/>
      <c r="E19" s="5"/>
      <c r="F19" s="5"/>
      <c r="G19" s="27"/>
      <c r="H19" s="5"/>
      <c r="I19" s="5"/>
      <c r="J19" s="5"/>
      <c r="K19" s="5"/>
      <c r="L19" s="5"/>
      <c r="M19" s="5"/>
      <c r="N19" s="5"/>
      <c r="O19" s="4"/>
    </row>
    <row r="20" spans="2:25" s="25" customFormat="1" ht="11.25">
      <c r="B20" s="23" t="s">
        <v>16</v>
      </c>
      <c r="C20" s="24"/>
      <c r="D20" s="24"/>
      <c r="E20" s="24"/>
      <c r="F20" s="24"/>
      <c r="G20" s="31"/>
      <c r="H20" s="24"/>
      <c r="I20" s="24"/>
      <c r="J20" s="24"/>
      <c r="K20" s="24"/>
      <c r="L20" s="24"/>
      <c r="M20" s="24"/>
      <c r="N20" s="24"/>
      <c r="O20" s="23"/>
      <c r="Y20" s="26"/>
    </row>
    <row r="21" spans="2:25" s="25" customFormat="1" ht="11.25">
      <c r="B21" s="24" t="s">
        <v>13</v>
      </c>
      <c r="C21" s="9">
        <v>41985.4</v>
      </c>
      <c r="D21" s="24">
        <v>72240.48</v>
      </c>
      <c r="E21" s="24">
        <v>62664.63</v>
      </c>
      <c r="F21" s="24">
        <v>59594.38</v>
      </c>
      <c r="G21" s="31">
        <f>56387.85+1836</f>
        <v>58223.85</v>
      </c>
      <c r="H21" s="24">
        <v>61435.66</v>
      </c>
      <c r="I21" s="24">
        <f>59828.8+1600</f>
        <v>61428.8</v>
      </c>
      <c r="J21" s="24">
        <f>54721.56+5529.66+1000+16772</f>
        <v>78023.22</v>
      </c>
      <c r="K21" s="24">
        <f>57674.58+993</f>
        <v>58667.58</v>
      </c>
      <c r="L21" s="24">
        <v>60184.05</v>
      </c>
      <c r="M21" s="24">
        <v>10000</v>
      </c>
      <c r="N21" s="24"/>
      <c r="O21" s="24">
        <f>C21+D21+E21+F21+G21+H21+I21+J21+K21+L21+M21+N21</f>
        <v>624448.05</v>
      </c>
      <c r="Y21" s="26"/>
    </row>
    <row r="22" spans="2:25" s="25" customFormat="1" ht="11.25">
      <c r="B22" s="9" t="s">
        <v>33</v>
      </c>
      <c r="C22" s="24"/>
      <c r="D22" s="24"/>
      <c r="E22" s="24"/>
      <c r="F22" s="24"/>
      <c r="G22" s="31"/>
      <c r="H22" s="24"/>
      <c r="I22" s="24"/>
      <c r="J22" s="24"/>
      <c r="K22" s="24"/>
      <c r="L22" s="24"/>
      <c r="M22" s="24"/>
      <c r="N22" s="24"/>
      <c r="O22" s="24">
        <f>C22+D22+E22+F22+G22+H22+I22+J22+K22+L22+M22+N22</f>
        <v>0</v>
      </c>
      <c r="Y22" s="26"/>
    </row>
    <row r="23" spans="2:25" s="25" customFormat="1" ht="11.25">
      <c r="B23" s="16"/>
      <c r="C23" s="24"/>
      <c r="D23" s="24"/>
      <c r="E23" s="24"/>
      <c r="F23" s="24"/>
      <c r="G23" s="31"/>
      <c r="H23" s="24"/>
      <c r="I23" s="24"/>
      <c r="J23" s="24"/>
      <c r="K23" s="24"/>
      <c r="L23" s="24"/>
      <c r="M23" s="24"/>
      <c r="N23" s="24"/>
      <c r="O23" s="24"/>
      <c r="Y23" s="26"/>
    </row>
    <row r="24" spans="2:15" s="26" customFormat="1" ht="11.25">
      <c r="B24" s="23" t="s">
        <v>14</v>
      </c>
      <c r="C24" s="23">
        <f aca="true" t="shared" si="2" ref="C24:O24">SUM(C21:C23)</f>
        <v>41985.4</v>
      </c>
      <c r="D24" s="23">
        <f t="shared" si="2"/>
        <v>72240.48</v>
      </c>
      <c r="E24" s="23">
        <f t="shared" si="2"/>
        <v>62664.63</v>
      </c>
      <c r="F24" s="23">
        <f t="shared" si="2"/>
        <v>59594.38</v>
      </c>
      <c r="G24" s="32">
        <f t="shared" si="2"/>
        <v>58223.85</v>
      </c>
      <c r="H24" s="23">
        <f t="shared" si="2"/>
        <v>61435.66</v>
      </c>
      <c r="I24" s="23">
        <f t="shared" si="2"/>
        <v>61428.8</v>
      </c>
      <c r="J24" s="23">
        <f t="shared" si="2"/>
        <v>78023.22</v>
      </c>
      <c r="K24" s="23">
        <f t="shared" si="2"/>
        <v>58667.58</v>
      </c>
      <c r="L24" s="23">
        <f t="shared" si="2"/>
        <v>60184.05</v>
      </c>
      <c r="M24" s="23">
        <f t="shared" si="2"/>
        <v>10000</v>
      </c>
      <c r="N24" s="23">
        <f t="shared" si="2"/>
        <v>0</v>
      </c>
      <c r="O24" s="23">
        <f t="shared" si="2"/>
        <v>624448.05</v>
      </c>
    </row>
    <row r="25" spans="2:15" ht="11.25">
      <c r="B25" s="5"/>
      <c r="C25" s="5"/>
      <c r="D25" s="5"/>
      <c r="E25" s="5"/>
      <c r="F25" s="5"/>
      <c r="G25" s="27"/>
      <c r="H25" s="5"/>
      <c r="I25" s="5"/>
      <c r="J25" s="5"/>
      <c r="K25" s="5"/>
      <c r="L25" s="5"/>
      <c r="M25" s="5"/>
      <c r="N25" s="5"/>
      <c r="O25" s="4"/>
    </row>
    <row r="26" spans="2:15" ht="11.25">
      <c r="B26" s="4" t="s">
        <v>17</v>
      </c>
      <c r="C26" s="12">
        <f aca="true" t="shared" si="3" ref="C26:O26">C24/C18</f>
        <v>0.6320062307378047</v>
      </c>
      <c r="D26" s="12">
        <f t="shared" si="3"/>
        <v>1.08743595324779</v>
      </c>
      <c r="E26" s="12">
        <f t="shared" si="3"/>
        <v>0.9432906821628271</v>
      </c>
      <c r="F26" s="12">
        <f t="shared" si="3"/>
        <v>0.8970742085809927</v>
      </c>
      <c r="G26" s="33">
        <f t="shared" si="3"/>
        <v>0.8764436203428652</v>
      </c>
      <c r="H26" s="12">
        <f t="shared" si="3"/>
        <v>0.9247909966199994</v>
      </c>
      <c r="I26" s="12">
        <f t="shared" si="3"/>
        <v>0.9246877330392579</v>
      </c>
      <c r="J26" s="12">
        <f t="shared" si="3"/>
        <v>1.1744835390927917</v>
      </c>
      <c r="K26" s="12">
        <f t="shared" si="3"/>
        <v>0.8831230880808237</v>
      </c>
      <c r="L26" s="12">
        <f t="shared" si="3"/>
        <v>0.8844842538448889</v>
      </c>
      <c r="M26" s="12">
        <f t="shared" si="3"/>
        <v>0.14696323259150704</v>
      </c>
      <c r="N26" s="12" t="e">
        <f t="shared" si="3"/>
        <v>#DIV/0!</v>
      </c>
      <c r="O26" s="13">
        <f t="shared" si="3"/>
        <v>0.8507745730949867</v>
      </c>
    </row>
    <row r="27" spans="2:15" ht="11.25">
      <c r="B27" s="4"/>
      <c r="C27" s="12"/>
      <c r="D27" s="12"/>
      <c r="E27" s="12"/>
      <c r="F27" s="12"/>
      <c r="G27" s="33"/>
      <c r="H27" s="12"/>
      <c r="I27" s="12"/>
      <c r="J27" s="12"/>
      <c r="K27" s="12"/>
      <c r="L27" s="12"/>
      <c r="M27" s="12"/>
      <c r="N27" s="12"/>
      <c r="O27" s="14"/>
    </row>
    <row r="28" spans="2:15" ht="11.25">
      <c r="B28" s="4" t="s">
        <v>18</v>
      </c>
      <c r="C28" s="7">
        <f aca="true" t="shared" si="4" ref="C28:O28">C18-C24</f>
        <v>24446.54</v>
      </c>
      <c r="D28" s="7">
        <f t="shared" si="4"/>
        <v>-5808.539999999994</v>
      </c>
      <c r="E28" s="7">
        <f t="shared" si="4"/>
        <v>3767.310000000005</v>
      </c>
      <c r="F28" s="7">
        <f t="shared" si="4"/>
        <v>6837.560000000005</v>
      </c>
      <c r="G28" s="34">
        <f t="shared" si="4"/>
        <v>8208.090000000004</v>
      </c>
      <c r="H28" s="7">
        <f t="shared" si="4"/>
        <v>4996.279999999999</v>
      </c>
      <c r="I28" s="7">
        <f t="shared" si="4"/>
        <v>5003.139999999999</v>
      </c>
      <c r="J28" s="7">
        <f t="shared" si="4"/>
        <v>-11591.279999999999</v>
      </c>
      <c r="K28" s="7">
        <f t="shared" si="4"/>
        <v>7764.360000000001</v>
      </c>
      <c r="L28" s="7">
        <f t="shared" si="4"/>
        <v>7860.179999999993</v>
      </c>
      <c r="M28" s="7">
        <f t="shared" si="4"/>
        <v>58044.229999999996</v>
      </c>
      <c r="N28" s="7">
        <f t="shared" si="4"/>
        <v>0</v>
      </c>
      <c r="O28" s="7">
        <f t="shared" si="4"/>
        <v>109527.86999999988</v>
      </c>
    </row>
    <row r="29" spans="2:15" ht="11.25">
      <c r="B29" s="5"/>
      <c r="C29" s="5"/>
      <c r="D29" s="5"/>
      <c r="E29" s="5"/>
      <c r="F29" s="5"/>
      <c r="G29" s="27"/>
      <c r="H29" s="5"/>
      <c r="I29" s="5"/>
      <c r="J29" s="5"/>
      <c r="K29" s="5"/>
      <c r="L29" s="5"/>
      <c r="M29" s="5"/>
      <c r="N29" s="5"/>
      <c r="O29" s="4"/>
    </row>
    <row r="30" spans="2:25" s="17" customFormat="1" ht="11.25">
      <c r="B30" s="15" t="s">
        <v>19</v>
      </c>
      <c r="C30" s="16"/>
      <c r="D30" s="16"/>
      <c r="E30" s="16"/>
      <c r="F30" s="16"/>
      <c r="G30" s="35"/>
      <c r="H30" s="16"/>
      <c r="I30" s="16"/>
      <c r="J30" s="16"/>
      <c r="K30" s="16"/>
      <c r="L30" s="16"/>
      <c r="M30" s="16"/>
      <c r="N30" s="16"/>
      <c r="O30" s="15"/>
      <c r="Y30" s="18"/>
    </row>
    <row r="31" spans="2:25" s="17" customFormat="1" ht="11.25">
      <c r="B31" s="16"/>
      <c r="C31" s="16"/>
      <c r="D31" s="16"/>
      <c r="E31" s="16"/>
      <c r="F31" s="16"/>
      <c r="G31" s="35"/>
      <c r="H31" s="16"/>
      <c r="I31" s="16"/>
      <c r="J31" s="16"/>
      <c r="K31" s="16"/>
      <c r="L31" s="16"/>
      <c r="M31" s="16"/>
      <c r="N31" s="16"/>
      <c r="O31" s="15"/>
      <c r="Y31" s="18"/>
    </row>
    <row r="32" spans="2:25" s="17" customFormat="1" ht="11.25">
      <c r="B32" s="16" t="s">
        <v>20</v>
      </c>
      <c r="C32" s="16">
        <v>111.09</v>
      </c>
      <c r="D32" s="16">
        <v>288.67</v>
      </c>
      <c r="E32" s="16">
        <v>397.4</v>
      </c>
      <c r="F32" s="16">
        <v>402.66</v>
      </c>
      <c r="G32" s="35">
        <v>723.08</v>
      </c>
      <c r="H32" s="16">
        <v>715.06</v>
      </c>
      <c r="I32" s="16">
        <v>457.22</v>
      </c>
      <c r="J32" s="16">
        <v>301.48</v>
      </c>
      <c r="K32" s="16">
        <v>351.45</v>
      </c>
      <c r="L32" s="16">
        <v>814.24</v>
      </c>
      <c r="M32" s="16">
        <v>143.18</v>
      </c>
      <c r="N32" s="16"/>
      <c r="O32" s="16">
        <f>C32+D32+E32+F32+G32+H32+I32+J32+K32+L32+M32+N32</f>
        <v>4705.530000000001</v>
      </c>
      <c r="Y32" s="18"/>
    </row>
    <row r="33" spans="2:25" s="17" customFormat="1" ht="11.25">
      <c r="B33" s="16" t="s">
        <v>32</v>
      </c>
      <c r="C33" s="16">
        <f>21151.1+517.12</f>
        <v>21668.219999999998</v>
      </c>
      <c r="D33" s="16">
        <f>20633.98+1409.71</f>
        <v>22043.69</v>
      </c>
      <c r="E33" s="16">
        <v>21151.1</v>
      </c>
      <c r="F33" s="16">
        <v>21151.1</v>
      </c>
      <c r="G33" s="35">
        <v>21151.1</v>
      </c>
      <c r="H33" s="16">
        <v>21151.1</v>
      </c>
      <c r="I33" s="16">
        <v>21151.1</v>
      </c>
      <c r="J33" s="16">
        <v>21151.1</v>
      </c>
      <c r="K33" s="16">
        <v>21151.1</v>
      </c>
      <c r="L33" s="16">
        <v>21151.11</v>
      </c>
      <c r="M33" s="16">
        <v>21151.1</v>
      </c>
      <c r="N33" s="16"/>
      <c r="O33" s="16">
        <f aca="true" t="shared" si="5" ref="O33:O57">C33+D33+E33+F33+G33+H33+I33+J33+K33+L33+M33+N33</f>
        <v>234071.82000000004</v>
      </c>
      <c r="Y33" s="18"/>
    </row>
    <row r="34" spans="2:25" s="17" customFormat="1" ht="11.25">
      <c r="B34" s="16" t="s">
        <v>26</v>
      </c>
      <c r="C34" s="16">
        <f>4054.32+1737.9</f>
        <v>5792.22</v>
      </c>
      <c r="D34" s="16">
        <f>6230.92+2103.81</f>
        <v>8334.73</v>
      </c>
      <c r="E34" s="16">
        <f>6230.92+2103.81</f>
        <v>8334.73</v>
      </c>
      <c r="F34" s="16">
        <f>2727.64+3102.7+2103.81</f>
        <v>7934.15</v>
      </c>
      <c r="G34" s="35">
        <f>3128.22+6230.92</f>
        <v>9359.14</v>
      </c>
      <c r="H34" s="16">
        <f>6230.92+2103.81</f>
        <v>8334.73</v>
      </c>
      <c r="I34" s="16">
        <f>6230.92+2103.81</f>
        <v>8334.73</v>
      </c>
      <c r="J34" s="16">
        <f>6230.92+2103.81</f>
        <v>8334.73</v>
      </c>
      <c r="K34" s="16">
        <f>6230.92+2103.81</f>
        <v>8334.73</v>
      </c>
      <c r="L34" s="16">
        <f>6230.92+2103.81</f>
        <v>8334.73</v>
      </c>
      <c r="M34" s="16"/>
      <c r="N34" s="16"/>
      <c r="O34" s="16">
        <f t="shared" si="5"/>
        <v>81428.61999999998</v>
      </c>
      <c r="Y34" s="18"/>
    </row>
    <row r="35" spans="2:25" s="17" customFormat="1" ht="11.25">
      <c r="B35" s="16" t="s">
        <v>27</v>
      </c>
      <c r="C35" s="16">
        <f>1554.34+9967.36</f>
        <v>11521.7</v>
      </c>
      <c r="D35" s="16">
        <f>1034.23+9967.36</f>
        <v>11001.59</v>
      </c>
      <c r="E35" s="16">
        <v>9967.36</v>
      </c>
      <c r="F35" s="16">
        <v>3102.7</v>
      </c>
      <c r="G35" s="35">
        <f>6864.66+5171.17+2103.81</f>
        <v>14139.64</v>
      </c>
      <c r="H35" s="16">
        <f>4796.19+5171.17</f>
        <v>9967.36</v>
      </c>
      <c r="I35" s="16">
        <f>4796.19+5171.17</f>
        <v>9967.36</v>
      </c>
      <c r="J35" s="16">
        <f>11089.69+251.02</f>
        <v>11340.710000000001</v>
      </c>
      <c r="K35" s="16">
        <f>11089.69+251.02</f>
        <v>11340.710000000001</v>
      </c>
      <c r="L35" s="16">
        <f>11089.69+251.02+4796.19</f>
        <v>16136.900000000001</v>
      </c>
      <c r="M35" s="16"/>
      <c r="N35" s="16"/>
      <c r="O35" s="16">
        <f t="shared" si="5"/>
        <v>108486.03</v>
      </c>
      <c r="Y35" s="18"/>
    </row>
    <row r="36" spans="2:25" s="17" customFormat="1" ht="11.25">
      <c r="B36" s="16" t="s">
        <v>23</v>
      </c>
      <c r="C36" s="16"/>
      <c r="D36" s="16"/>
      <c r="E36" s="16"/>
      <c r="F36" s="16"/>
      <c r="G36" s="35"/>
      <c r="H36" s="16"/>
      <c r="I36" s="16"/>
      <c r="J36" s="16"/>
      <c r="K36" s="16"/>
      <c r="L36" s="16"/>
      <c r="M36" s="16"/>
      <c r="N36" s="16"/>
      <c r="O36" s="16">
        <f t="shared" si="5"/>
        <v>0</v>
      </c>
      <c r="Y36" s="18"/>
    </row>
    <row r="37" spans="2:25" s="17" customFormat="1" ht="11.25">
      <c r="B37" s="19" t="s">
        <v>28</v>
      </c>
      <c r="C37" s="16">
        <v>59.92</v>
      </c>
      <c r="D37" s="16">
        <v>59.92</v>
      </c>
      <c r="E37" s="16">
        <v>59.92</v>
      </c>
      <c r="F37" s="16">
        <v>59.92</v>
      </c>
      <c r="G37" s="35"/>
      <c r="H37" s="16"/>
      <c r="I37" s="16">
        <v>59.92</v>
      </c>
      <c r="J37" s="16">
        <v>59.92</v>
      </c>
      <c r="K37" s="16">
        <v>59.92</v>
      </c>
      <c r="L37" s="16">
        <v>59.92</v>
      </c>
      <c r="M37" s="16">
        <v>59.92</v>
      </c>
      <c r="N37" s="16"/>
      <c r="O37" s="16">
        <f t="shared" si="5"/>
        <v>539.2800000000001</v>
      </c>
      <c r="Y37" s="18"/>
    </row>
    <row r="38" spans="2:25" s="17" customFormat="1" ht="11.25">
      <c r="B38" s="16" t="s">
        <v>29</v>
      </c>
      <c r="C38" s="16">
        <v>4500</v>
      </c>
      <c r="D38" s="16">
        <v>4500</v>
      </c>
      <c r="E38" s="16">
        <v>4500</v>
      </c>
      <c r="F38" s="16">
        <v>2250</v>
      </c>
      <c r="G38" s="35">
        <f>2250+2250</f>
        <v>4500</v>
      </c>
      <c r="H38" s="16">
        <f>2250+2250</f>
        <v>4500</v>
      </c>
      <c r="I38" s="16">
        <f>2250+2250</f>
        <v>4500</v>
      </c>
      <c r="J38" s="16">
        <v>2250</v>
      </c>
      <c r="K38" s="16"/>
      <c r="L38" s="16"/>
      <c r="M38" s="16"/>
      <c r="N38" s="16"/>
      <c r="O38" s="16">
        <f t="shared" si="5"/>
        <v>31500</v>
      </c>
      <c r="Y38" s="18"/>
    </row>
    <row r="39" spans="2:25" s="17" customFormat="1" ht="11.25">
      <c r="B39" s="16" t="s">
        <v>25</v>
      </c>
      <c r="C39" s="16">
        <v>3350</v>
      </c>
      <c r="D39" s="16">
        <v>3350</v>
      </c>
      <c r="E39" s="16"/>
      <c r="F39" s="16">
        <f>3350+3350</f>
        <v>6700</v>
      </c>
      <c r="G39" s="35">
        <v>3350</v>
      </c>
      <c r="H39" s="16">
        <v>3350</v>
      </c>
      <c r="I39" s="16">
        <v>3350</v>
      </c>
      <c r="J39" s="16"/>
      <c r="K39" s="16"/>
      <c r="L39" s="16">
        <v>6700</v>
      </c>
      <c r="M39" s="16"/>
      <c r="N39" s="16"/>
      <c r="O39" s="16">
        <f t="shared" si="5"/>
        <v>30150</v>
      </c>
      <c r="Y39" s="18"/>
    </row>
    <row r="40" spans="2:25" s="17" customFormat="1" ht="11.25">
      <c r="B40" s="16" t="s">
        <v>31</v>
      </c>
      <c r="C40" s="16">
        <f>3274.5+414.64</f>
        <v>3689.14</v>
      </c>
      <c r="D40" s="16">
        <f>2279.43+1409.71</f>
        <v>3689.14</v>
      </c>
      <c r="E40" s="16"/>
      <c r="F40" s="16">
        <f>2593.93+1095.22</f>
        <v>3689.1499999999996</v>
      </c>
      <c r="G40" s="35">
        <f>2597.58+1091.56</f>
        <v>3689.14</v>
      </c>
      <c r="H40" s="16"/>
      <c r="I40" s="16">
        <f>2545.99+2452.52+1143.15+1236.62</f>
        <v>7378.28</v>
      </c>
      <c r="J40" s="16">
        <f>2723.87+965.28</f>
        <v>3689.1499999999996</v>
      </c>
      <c r="K40" s="16">
        <f>2851.06+838.09</f>
        <v>3689.15</v>
      </c>
      <c r="L40" s="16">
        <f>2637+1052.15</f>
        <v>3689.15</v>
      </c>
      <c r="M40" s="16"/>
      <c r="N40" s="16"/>
      <c r="O40" s="16">
        <f t="shared" si="5"/>
        <v>33202.3</v>
      </c>
      <c r="Y40" s="18"/>
    </row>
    <row r="41" spans="2:25" s="17" customFormat="1" ht="11.25">
      <c r="B41" s="16" t="s">
        <v>30</v>
      </c>
      <c r="C41" s="16">
        <v>956.44</v>
      </c>
      <c r="D41" s="16">
        <v>956.44</v>
      </c>
      <c r="E41" s="16">
        <v>956.44</v>
      </c>
      <c r="F41" s="16">
        <v>956.44</v>
      </c>
      <c r="G41" s="35">
        <v>956.44</v>
      </c>
      <c r="H41" s="16">
        <v>956.44</v>
      </c>
      <c r="I41" s="16">
        <v>956.44</v>
      </c>
      <c r="J41" s="16">
        <v>956.44</v>
      </c>
      <c r="K41" s="16">
        <v>956.44</v>
      </c>
      <c r="L41" s="16">
        <v>956.44</v>
      </c>
      <c r="M41" s="16">
        <v>956.44</v>
      </c>
      <c r="N41" s="16"/>
      <c r="O41" s="16">
        <f t="shared" si="5"/>
        <v>10520.840000000004</v>
      </c>
      <c r="Y41" s="18"/>
    </row>
    <row r="42" spans="2:25" s="17" customFormat="1" ht="11.25">
      <c r="B42" s="16" t="s">
        <v>24</v>
      </c>
      <c r="C42" s="16">
        <v>102.36</v>
      </c>
      <c r="D42" s="16">
        <v>352.48</v>
      </c>
      <c r="E42" s="16">
        <v>117.65</v>
      </c>
      <c r="F42" s="16">
        <v>401.98</v>
      </c>
      <c r="G42" s="35"/>
      <c r="H42" s="16">
        <v>201.65</v>
      </c>
      <c r="I42" s="16">
        <v>466.28</v>
      </c>
      <c r="J42" s="16">
        <v>374.81</v>
      </c>
      <c r="K42" s="16">
        <v>202.82</v>
      </c>
      <c r="L42" s="16">
        <v>479.09</v>
      </c>
      <c r="M42" s="16">
        <v>265.18</v>
      </c>
      <c r="N42" s="16"/>
      <c r="O42" s="16">
        <f t="shared" si="5"/>
        <v>2964.3</v>
      </c>
      <c r="Y42" s="18"/>
    </row>
    <row r="43" spans="2:25" s="17" customFormat="1" ht="11.25">
      <c r="B43" s="16" t="s">
        <v>34</v>
      </c>
      <c r="C43" s="16">
        <v>3000</v>
      </c>
      <c r="D43" s="16">
        <v>3000</v>
      </c>
      <c r="E43" s="16">
        <v>3000</v>
      </c>
      <c r="F43" s="16">
        <v>2500</v>
      </c>
      <c r="G43" s="35">
        <v>2000</v>
      </c>
      <c r="H43" s="16">
        <v>2000</v>
      </c>
      <c r="I43" s="16">
        <v>2000</v>
      </c>
      <c r="J43" s="16">
        <v>2000</v>
      </c>
      <c r="K43" s="16">
        <v>2000</v>
      </c>
      <c r="L43" s="16">
        <v>2000</v>
      </c>
      <c r="M43" s="16">
        <v>3000</v>
      </c>
      <c r="N43" s="16"/>
      <c r="O43" s="16">
        <f t="shared" si="5"/>
        <v>26500</v>
      </c>
      <c r="Y43" s="18"/>
    </row>
    <row r="44" spans="2:25" s="17" customFormat="1" ht="11.25">
      <c r="B44" s="16" t="s">
        <v>35</v>
      </c>
      <c r="C44" s="16"/>
      <c r="D44" s="16"/>
      <c r="E44" s="16"/>
      <c r="F44" s="16"/>
      <c r="G44" s="35"/>
      <c r="H44" s="16">
        <f>1188.46+782.28</f>
        <v>1970.74</v>
      </c>
      <c r="I44" s="16">
        <v>1188.46</v>
      </c>
      <c r="J44" s="16">
        <v>1188.46</v>
      </c>
      <c r="K44" s="16"/>
      <c r="L44" s="16"/>
      <c r="M44" s="16"/>
      <c r="N44" s="16"/>
      <c r="O44" s="16">
        <f t="shared" si="5"/>
        <v>4347.66</v>
      </c>
      <c r="Y44" s="18"/>
    </row>
    <row r="45" spans="2:25" s="17" customFormat="1" ht="11.25">
      <c r="B45" s="16" t="s">
        <v>36</v>
      </c>
      <c r="C45" s="16"/>
      <c r="D45" s="16"/>
      <c r="E45" s="16">
        <v>20684.68</v>
      </c>
      <c r="F45" s="16"/>
      <c r="G45" s="35"/>
      <c r="H45" s="16">
        <v>23.88</v>
      </c>
      <c r="I45" s="16"/>
      <c r="J45" s="16"/>
      <c r="K45" s="16"/>
      <c r="L45" s="16"/>
      <c r="M45" s="16"/>
      <c r="N45" s="16"/>
      <c r="O45" s="16">
        <f t="shared" si="5"/>
        <v>20708.56</v>
      </c>
      <c r="Y45" s="18"/>
    </row>
    <row r="46" spans="2:25" s="17" customFormat="1" ht="11.25">
      <c r="B46" s="16"/>
      <c r="C46" s="16"/>
      <c r="D46" s="16"/>
      <c r="E46" s="16"/>
      <c r="F46" s="16"/>
      <c r="G46" s="35"/>
      <c r="H46" s="16"/>
      <c r="I46" s="16"/>
      <c r="J46" s="16"/>
      <c r="K46" s="16"/>
      <c r="L46" s="16"/>
      <c r="M46" s="16"/>
      <c r="N46" s="16"/>
      <c r="O46" s="16"/>
      <c r="Y46" s="18"/>
    </row>
    <row r="47" spans="2:25" s="17" customFormat="1" ht="11.25">
      <c r="B47" s="41" t="s">
        <v>107</v>
      </c>
      <c r="C47" s="16"/>
      <c r="D47" s="16"/>
      <c r="E47" s="16"/>
      <c r="F47" s="16"/>
      <c r="G47" s="35"/>
      <c r="H47" s="16"/>
      <c r="I47" s="16"/>
      <c r="J47" s="16"/>
      <c r="K47" s="16"/>
      <c r="L47" s="16"/>
      <c r="M47" s="16"/>
      <c r="N47" s="16"/>
      <c r="O47" s="16">
        <f>33058.3+433.33+263.26+45.88</f>
        <v>33800.770000000004</v>
      </c>
      <c r="Y47" s="18"/>
    </row>
    <row r="48" spans="2:25" s="17" customFormat="1" ht="11.25">
      <c r="B48" s="16" t="s">
        <v>51</v>
      </c>
      <c r="C48" s="16"/>
      <c r="D48" s="16"/>
      <c r="E48" s="16">
        <v>2000</v>
      </c>
      <c r="F48" s="16"/>
      <c r="G48" s="35"/>
      <c r="H48" s="16"/>
      <c r="I48" s="16"/>
      <c r="J48" s="16"/>
      <c r="K48" s="16"/>
      <c r="L48" s="16"/>
      <c r="M48" s="16"/>
      <c r="N48" s="16"/>
      <c r="O48" s="16">
        <f t="shared" si="5"/>
        <v>2000</v>
      </c>
      <c r="Y48" s="18"/>
    </row>
    <row r="49" spans="2:25" s="17" customFormat="1" ht="11.25">
      <c r="B49" s="16" t="s">
        <v>53</v>
      </c>
      <c r="C49" s="16"/>
      <c r="D49" s="16"/>
      <c r="E49" s="16"/>
      <c r="F49" s="16">
        <v>5850</v>
      </c>
      <c r="G49" s="35"/>
      <c r="H49" s="16"/>
      <c r="I49" s="16"/>
      <c r="J49" s="16"/>
      <c r="K49" s="16"/>
      <c r="L49" s="16"/>
      <c r="M49" s="16"/>
      <c r="N49" s="16"/>
      <c r="O49" s="16">
        <f t="shared" si="5"/>
        <v>5850</v>
      </c>
      <c r="Y49" s="18"/>
    </row>
    <row r="50" spans="2:25" s="17" customFormat="1" ht="11.25">
      <c r="B50" s="16" t="s">
        <v>54</v>
      </c>
      <c r="C50" s="16"/>
      <c r="D50" s="16"/>
      <c r="E50" s="16"/>
      <c r="F50" s="16">
        <v>3000</v>
      </c>
      <c r="G50" s="35"/>
      <c r="H50" s="16"/>
      <c r="I50" s="16"/>
      <c r="J50" s="16"/>
      <c r="K50" s="16"/>
      <c r="L50" s="16"/>
      <c r="M50" s="16"/>
      <c r="N50" s="16"/>
      <c r="O50" s="16">
        <f t="shared" si="5"/>
        <v>3000</v>
      </c>
      <c r="Y50" s="18"/>
    </row>
    <row r="51" spans="2:25" s="17" customFormat="1" ht="11.25">
      <c r="B51" s="16" t="s">
        <v>66</v>
      </c>
      <c r="C51" s="16"/>
      <c r="D51" s="16"/>
      <c r="E51" s="16"/>
      <c r="F51" s="16"/>
      <c r="G51" s="35">
        <v>1000</v>
      </c>
      <c r="H51" s="16"/>
      <c r="I51" s="16"/>
      <c r="J51" s="16"/>
      <c r="K51" s="16">
        <v>1500</v>
      </c>
      <c r="L51" s="16"/>
      <c r="M51" s="16"/>
      <c r="N51" s="16"/>
      <c r="O51" s="16">
        <f t="shared" si="5"/>
        <v>2500</v>
      </c>
      <c r="Y51" s="18"/>
    </row>
    <row r="52" spans="2:25" s="17" customFormat="1" ht="11.25">
      <c r="B52" s="16" t="s">
        <v>67</v>
      </c>
      <c r="C52" s="16"/>
      <c r="D52" s="16"/>
      <c r="E52" s="16"/>
      <c r="F52" s="16"/>
      <c r="G52" s="35"/>
      <c r="H52" s="16">
        <v>2500</v>
      </c>
      <c r="I52" s="16"/>
      <c r="J52" s="16"/>
      <c r="K52" s="16"/>
      <c r="L52" s="16"/>
      <c r="M52" s="16"/>
      <c r="N52" s="16"/>
      <c r="O52" s="16">
        <f t="shared" si="5"/>
        <v>2500</v>
      </c>
      <c r="Y52" s="18"/>
    </row>
    <row r="53" spans="2:25" s="17" customFormat="1" ht="11.25">
      <c r="B53" s="16" t="s">
        <v>68</v>
      </c>
      <c r="C53" s="16"/>
      <c r="D53" s="16"/>
      <c r="E53" s="16"/>
      <c r="F53" s="16"/>
      <c r="G53" s="35"/>
      <c r="H53" s="16"/>
      <c r="I53" s="16">
        <v>2000</v>
      </c>
      <c r="J53" s="16"/>
      <c r="K53" s="16"/>
      <c r="L53" s="16"/>
      <c r="M53" s="16"/>
      <c r="N53" s="16"/>
      <c r="O53" s="16">
        <f t="shared" si="5"/>
        <v>2000</v>
      </c>
      <c r="Y53" s="18"/>
    </row>
    <row r="54" spans="2:25" s="17" customFormat="1" ht="11.25">
      <c r="B54" s="16" t="s">
        <v>69</v>
      </c>
      <c r="C54" s="16"/>
      <c r="D54" s="16"/>
      <c r="E54" s="16"/>
      <c r="F54" s="16"/>
      <c r="G54" s="35"/>
      <c r="H54" s="16"/>
      <c r="I54" s="16"/>
      <c r="J54" s="16">
        <v>5000</v>
      </c>
      <c r="K54" s="16"/>
      <c r="L54" s="16"/>
      <c r="M54" s="16"/>
      <c r="N54" s="16"/>
      <c r="O54" s="16">
        <f t="shared" si="5"/>
        <v>5000</v>
      </c>
      <c r="Y54" s="18"/>
    </row>
    <row r="55" spans="2:25" s="17" customFormat="1" ht="11.25">
      <c r="B55" s="16" t="s">
        <v>70</v>
      </c>
      <c r="C55" s="16"/>
      <c r="D55" s="16"/>
      <c r="E55" s="16"/>
      <c r="F55" s="16"/>
      <c r="G55" s="35"/>
      <c r="H55" s="16"/>
      <c r="I55" s="16"/>
      <c r="J55" s="16">
        <v>2378.75</v>
      </c>
      <c r="K55" s="16"/>
      <c r="L55" s="16"/>
      <c r="M55" s="16"/>
      <c r="N55" s="16"/>
      <c r="O55" s="16">
        <f t="shared" si="5"/>
        <v>2378.75</v>
      </c>
      <c r="Y55" s="18"/>
    </row>
    <row r="56" spans="2:25" s="17" customFormat="1" ht="11.25">
      <c r="B56" s="16" t="s">
        <v>95</v>
      </c>
      <c r="C56" s="16"/>
      <c r="D56" s="16"/>
      <c r="E56" s="16"/>
      <c r="F56" s="16"/>
      <c r="G56" s="35"/>
      <c r="H56" s="16"/>
      <c r="I56" s="16">
        <v>1600</v>
      </c>
      <c r="J56" s="16"/>
      <c r="K56" s="16"/>
      <c r="L56" s="16"/>
      <c r="M56" s="16"/>
      <c r="N56" s="16"/>
      <c r="O56" s="16">
        <f t="shared" si="5"/>
        <v>1600</v>
      </c>
      <c r="Y56" s="18"/>
    </row>
    <row r="57" spans="2:25" s="17" customFormat="1" ht="11.25">
      <c r="B57" s="16" t="s">
        <v>110</v>
      </c>
      <c r="C57" s="16"/>
      <c r="D57" s="16"/>
      <c r="E57" s="16"/>
      <c r="F57" s="16"/>
      <c r="G57" s="35"/>
      <c r="H57" s="16"/>
      <c r="I57" s="16"/>
      <c r="J57" s="16">
        <v>1000</v>
      </c>
      <c r="K57" s="16"/>
      <c r="L57" s="16"/>
      <c r="M57" s="16"/>
      <c r="N57" s="16"/>
      <c r="O57" s="16">
        <f t="shared" si="5"/>
        <v>1000</v>
      </c>
      <c r="Y57" s="18"/>
    </row>
    <row r="58" spans="2:25" s="17" customFormat="1" ht="11.25">
      <c r="B58" s="15" t="s">
        <v>14</v>
      </c>
      <c r="C58" s="15">
        <f aca="true" t="shared" si="6" ref="C58:O58">SUM(C32:C57)</f>
        <v>54751.09</v>
      </c>
      <c r="D58" s="15">
        <f t="shared" si="6"/>
        <v>57576.659999999996</v>
      </c>
      <c r="E58" s="15">
        <f t="shared" si="6"/>
        <v>71169.28</v>
      </c>
      <c r="F58" s="15">
        <f t="shared" si="6"/>
        <v>57998.100000000006</v>
      </c>
      <c r="G58" s="36">
        <f t="shared" si="6"/>
        <v>60868.54</v>
      </c>
      <c r="H58" s="15">
        <f t="shared" si="6"/>
        <v>55670.96</v>
      </c>
      <c r="I58" s="15">
        <f t="shared" si="6"/>
        <v>63409.79</v>
      </c>
      <c r="J58" s="15">
        <f t="shared" si="6"/>
        <v>60025.549999999996</v>
      </c>
      <c r="K58" s="15">
        <f t="shared" si="6"/>
        <v>49586.32</v>
      </c>
      <c r="L58" s="15">
        <f t="shared" si="6"/>
        <v>60321.58</v>
      </c>
      <c r="M58" s="15">
        <f t="shared" si="6"/>
        <v>25575.819999999996</v>
      </c>
      <c r="N58" s="15">
        <f t="shared" si="6"/>
        <v>0</v>
      </c>
      <c r="O58" s="15">
        <f t="shared" si="6"/>
        <v>650754.4600000002</v>
      </c>
      <c r="Y58" s="18"/>
    </row>
    <row r="59" ht="11.25">
      <c r="G59" s="37"/>
    </row>
    <row r="60" spans="2:15" ht="11.25">
      <c r="B60" s="20" t="s">
        <v>131</v>
      </c>
      <c r="C60" s="21">
        <f aca="true" t="shared" si="7" ref="C60:O60">C11+C24-C58</f>
        <v>832.2200000000012</v>
      </c>
      <c r="D60" s="21">
        <f t="shared" si="7"/>
        <v>15496.04</v>
      </c>
      <c r="E60" s="21">
        <f t="shared" si="7"/>
        <v>6991.389999999999</v>
      </c>
      <c r="F60" s="21">
        <f t="shared" si="7"/>
        <v>8587.669999999984</v>
      </c>
      <c r="G60" s="38">
        <f t="shared" si="7"/>
        <v>5942.979999999989</v>
      </c>
      <c r="H60" s="21">
        <f t="shared" si="7"/>
        <v>11707.679999999986</v>
      </c>
      <c r="I60" s="21">
        <f t="shared" si="7"/>
        <v>9726.68999999998</v>
      </c>
      <c r="J60" s="21">
        <f t="shared" si="7"/>
        <v>27724.35999999998</v>
      </c>
      <c r="K60" s="21">
        <f t="shared" si="7"/>
        <v>36805.61999999997</v>
      </c>
      <c r="L60" s="38">
        <f t="shared" si="7"/>
        <v>36668.08999999998</v>
      </c>
      <c r="M60" s="21">
        <f t="shared" si="7"/>
        <v>21092.269999999986</v>
      </c>
      <c r="N60" s="21">
        <f t="shared" si="7"/>
        <v>21092.269999999986</v>
      </c>
      <c r="O60" s="42">
        <f t="shared" si="7"/>
        <v>-12708.500000000116</v>
      </c>
    </row>
    <row r="61" spans="2:15" s="3" customFormat="1" ht="11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11.25">
      <c r="B62" s="2" t="s">
        <v>21</v>
      </c>
    </row>
    <row r="63" ht="11.25">
      <c r="B63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Y61"/>
  <sheetViews>
    <sheetView zoomScale="90" zoomScaleNormal="90" zoomScalePageLayoutView="0" workbookViewId="0" topLeftCell="A1">
      <pane xSplit="2" ySplit="5" topLeftCell="C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58" sqref="O58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8.62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2">
      <c r="B1" s="44" t="s">
        <v>105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2:16" ht="12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2:15" ht="12">
      <c r="B3" s="45" t="s">
        <v>106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2">
      <c r="B4" s="45" t="s">
        <v>122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6" spans="2:15" ht="11.25">
      <c r="B6" s="5"/>
      <c r="C6" s="5"/>
      <c r="D6" s="5"/>
      <c r="E6" s="5"/>
      <c r="F6" s="5"/>
      <c r="G6" s="27"/>
      <c r="H6" s="5"/>
      <c r="I6" s="5"/>
      <c r="J6" s="5"/>
      <c r="K6" s="5"/>
      <c r="L6" s="5"/>
      <c r="M6" s="5"/>
      <c r="N6" s="5"/>
      <c r="O6" s="4"/>
    </row>
    <row r="7" spans="2:15" ht="11.25">
      <c r="B7" s="4" t="s">
        <v>39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1.25">
      <c r="B8" s="5" t="s">
        <v>13</v>
      </c>
      <c r="C8" s="5">
        <v>36185.17</v>
      </c>
      <c r="D8" s="5"/>
      <c r="E8" s="5"/>
      <c r="F8" s="5"/>
      <c r="G8" s="27"/>
      <c r="H8" s="5"/>
      <c r="I8" s="5"/>
      <c r="J8" s="5"/>
      <c r="K8" s="5"/>
      <c r="L8" s="5"/>
      <c r="M8" s="5"/>
      <c r="N8" s="5"/>
      <c r="O8" s="5">
        <f>C8+D8+E8+F8+G8+H8+I8+J8+K8+L8+M8+N8</f>
        <v>36185.17</v>
      </c>
    </row>
    <row r="9" spans="2:15" s="3" customFormat="1" ht="11.25">
      <c r="B9" s="4" t="s">
        <v>14</v>
      </c>
      <c r="C9" s="4">
        <f>C8</f>
        <v>36185.17</v>
      </c>
      <c r="D9" s="4">
        <f aca="true" t="shared" si="0" ref="D9:I9">C58</f>
        <v>40986.50999999999</v>
      </c>
      <c r="E9" s="4">
        <f t="shared" si="0"/>
        <v>39606.79999999999</v>
      </c>
      <c r="F9" s="4">
        <f t="shared" si="0"/>
        <v>31286.779999999984</v>
      </c>
      <c r="G9" s="28">
        <f t="shared" si="0"/>
        <v>30433.149999999972</v>
      </c>
      <c r="H9" s="4">
        <f t="shared" si="0"/>
        <v>19822.399999999965</v>
      </c>
      <c r="I9" s="4">
        <f t="shared" si="0"/>
        <v>32411.219999999958</v>
      </c>
      <c r="J9" s="4">
        <f>I58</f>
        <v>41032.43999999995</v>
      </c>
      <c r="K9" s="4">
        <f>J58</f>
        <v>75097.88999999994</v>
      </c>
      <c r="L9" s="4">
        <f>K58</f>
        <v>94984.01999999995</v>
      </c>
      <c r="M9" s="4">
        <f>L58</f>
        <v>98897.82999999996</v>
      </c>
      <c r="N9" s="4">
        <f>M58</f>
        <v>98897.82999999996</v>
      </c>
      <c r="O9" s="4">
        <f>O8</f>
        <v>36185.17</v>
      </c>
    </row>
    <row r="10" spans="2:15" ht="11.25">
      <c r="B10" s="5"/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1.25">
      <c r="B11" s="5"/>
      <c r="C11" s="5"/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4"/>
    </row>
    <row r="12" spans="2:25" s="10" customFormat="1" ht="11.25">
      <c r="B12" s="8" t="s">
        <v>15</v>
      </c>
      <c r="C12" s="9"/>
      <c r="D12" s="9"/>
      <c r="E12" s="9"/>
      <c r="F12" s="9"/>
      <c r="G12" s="29"/>
      <c r="H12" s="9"/>
      <c r="I12" s="9"/>
      <c r="J12" s="9"/>
      <c r="K12" s="9"/>
      <c r="L12" s="9"/>
      <c r="M12" s="9"/>
      <c r="N12" s="9"/>
      <c r="O12" s="8"/>
      <c r="Y12" s="11"/>
    </row>
    <row r="13" spans="2:25" s="10" customFormat="1" ht="11.25">
      <c r="B13" s="9" t="s">
        <v>13</v>
      </c>
      <c r="C13" s="9">
        <v>38924.25</v>
      </c>
      <c r="D13" s="9">
        <v>38924.25</v>
      </c>
      <c r="E13" s="9">
        <v>38924.25</v>
      </c>
      <c r="F13" s="9">
        <v>38924.25</v>
      </c>
      <c r="G13" s="9">
        <v>38924.25</v>
      </c>
      <c r="H13" s="9">
        <v>38924.25</v>
      </c>
      <c r="I13" s="9">
        <v>40154.57</v>
      </c>
      <c r="J13" s="9">
        <v>40154.57</v>
      </c>
      <c r="K13" s="9">
        <v>40154.57</v>
      </c>
      <c r="L13" s="9">
        <v>37386.35</v>
      </c>
      <c r="M13" s="9"/>
      <c r="N13" s="9"/>
      <c r="O13" s="9">
        <f>C13+D13+E13+F13+G13+H13+I13+J13+K13+L13+M13+N13</f>
        <v>391395.56</v>
      </c>
      <c r="Y13" s="11"/>
    </row>
    <row r="14" spans="2:25" s="10" customFormat="1" ht="11.25">
      <c r="B14" s="9" t="s">
        <v>33</v>
      </c>
      <c r="C14" s="9"/>
      <c r="D14" s="9"/>
      <c r="E14" s="9"/>
      <c r="F14" s="9"/>
      <c r="G14" s="29"/>
      <c r="H14" s="9"/>
      <c r="I14" s="9"/>
      <c r="J14" s="9"/>
      <c r="K14" s="9"/>
      <c r="L14" s="9">
        <v>4506.05</v>
      </c>
      <c r="M14" s="9"/>
      <c r="N14" s="9"/>
      <c r="O14" s="9">
        <f>C14+D14+E14+F14+G14+H14+I14+J14+K14+L14+M14+N14</f>
        <v>4506.05</v>
      </c>
      <c r="Y14" s="11"/>
    </row>
    <row r="15" spans="2:25" s="10" customFormat="1" ht="11.25">
      <c r="B15" s="16" t="s">
        <v>25</v>
      </c>
      <c r="C15" s="9"/>
      <c r="D15" s="9"/>
      <c r="E15" s="9"/>
      <c r="F15" s="9"/>
      <c r="G15" s="29"/>
      <c r="H15" s="9"/>
      <c r="I15" s="9"/>
      <c r="J15" s="9"/>
      <c r="K15" s="9"/>
      <c r="L15" s="9"/>
      <c r="M15" s="9"/>
      <c r="N15" s="9"/>
      <c r="O15" s="9">
        <f>C15+D15+E15+F15+G15+H15+I15+J15+K15+L15+M15+N15</f>
        <v>0</v>
      </c>
      <c r="Y15" s="11"/>
    </row>
    <row r="16" spans="2:25" s="10" customFormat="1" ht="11.25">
      <c r="B16" s="16"/>
      <c r="C16" s="9"/>
      <c r="D16" s="9"/>
      <c r="E16" s="9"/>
      <c r="F16" s="9"/>
      <c r="G16" s="29"/>
      <c r="H16" s="9"/>
      <c r="I16" s="9"/>
      <c r="J16" s="9"/>
      <c r="K16" s="9"/>
      <c r="L16" s="9"/>
      <c r="M16" s="9"/>
      <c r="N16" s="9"/>
      <c r="O16" s="9"/>
      <c r="Y16" s="11"/>
    </row>
    <row r="17" spans="2:15" s="11" customFormat="1" ht="11.25">
      <c r="B17" s="8" t="s">
        <v>14</v>
      </c>
      <c r="C17" s="8">
        <f aca="true" t="shared" si="1" ref="C17:N17">SUM(C11:C15)</f>
        <v>38924.25</v>
      </c>
      <c r="D17" s="8">
        <f t="shared" si="1"/>
        <v>38924.25</v>
      </c>
      <c r="E17" s="8">
        <f t="shared" si="1"/>
        <v>38924.25</v>
      </c>
      <c r="F17" s="8">
        <f t="shared" si="1"/>
        <v>38924.25</v>
      </c>
      <c r="G17" s="30">
        <f t="shared" si="1"/>
        <v>38924.25</v>
      </c>
      <c r="H17" s="8">
        <f t="shared" si="1"/>
        <v>38924.25</v>
      </c>
      <c r="I17" s="8">
        <f t="shared" si="1"/>
        <v>40154.57</v>
      </c>
      <c r="J17" s="8">
        <f t="shared" si="1"/>
        <v>40154.57</v>
      </c>
      <c r="K17" s="8">
        <f t="shared" si="1"/>
        <v>40154.57</v>
      </c>
      <c r="L17" s="8">
        <f t="shared" si="1"/>
        <v>41892.4</v>
      </c>
      <c r="M17" s="8">
        <f t="shared" si="1"/>
        <v>0</v>
      </c>
      <c r="N17" s="8">
        <f t="shared" si="1"/>
        <v>0</v>
      </c>
      <c r="O17" s="8">
        <f>C17+D17+E17+F17+G17+H17+I17+J17+K17+L17+M17+N17</f>
        <v>395901.61000000004</v>
      </c>
    </row>
    <row r="18" spans="2:15" ht="11.25">
      <c r="B18" s="5"/>
      <c r="C18" s="5"/>
      <c r="D18" s="5"/>
      <c r="E18" s="5"/>
      <c r="F18" s="5"/>
      <c r="G18" s="27"/>
      <c r="H18" s="5"/>
      <c r="I18" s="5"/>
      <c r="J18" s="5"/>
      <c r="K18" s="5"/>
      <c r="L18" s="5"/>
      <c r="M18" s="5"/>
      <c r="N18" s="5"/>
      <c r="O18" s="4"/>
    </row>
    <row r="19" spans="2:25" s="25" customFormat="1" ht="11.25">
      <c r="B19" s="23" t="s">
        <v>16</v>
      </c>
      <c r="C19" s="24"/>
      <c r="D19" s="24"/>
      <c r="E19" s="24"/>
      <c r="F19" s="24"/>
      <c r="G19" s="31"/>
      <c r="H19" s="24"/>
      <c r="I19" s="24"/>
      <c r="J19" s="24"/>
      <c r="K19" s="24"/>
      <c r="L19" s="24"/>
      <c r="M19" s="24"/>
      <c r="N19" s="24"/>
      <c r="O19" s="23"/>
      <c r="Y19" s="26"/>
    </row>
    <row r="20" spans="2:25" s="25" customFormat="1" ht="11.25">
      <c r="B20" s="24" t="s">
        <v>13</v>
      </c>
      <c r="C20" s="24">
        <f>35235.18+1500+1165.39</f>
        <v>37900.57</v>
      </c>
      <c r="D20" s="24">
        <f>31505.65+1165.39+842</f>
        <v>33513.04</v>
      </c>
      <c r="E20" s="24">
        <f>36338.03+1500</f>
        <v>37838.03</v>
      </c>
      <c r="F20" s="24">
        <f>32825.82+1500</f>
        <v>34325.82</v>
      </c>
      <c r="G20" s="31">
        <f>30090.95+3000</f>
        <v>33090.95</v>
      </c>
      <c r="H20" s="24">
        <f>38234.39+3000+1097.2+1115+581+1500+204+516</f>
        <v>46247.59</v>
      </c>
      <c r="I20" s="24">
        <v>43936.82</v>
      </c>
      <c r="J20" s="24">
        <f>68300.53+1847.22+3000+1500</f>
        <v>74647.75</v>
      </c>
      <c r="K20" s="24">
        <f>49755.21+1500</f>
        <v>51255.21</v>
      </c>
      <c r="L20" s="24">
        <f>36234.75+1500</f>
        <v>37734.75</v>
      </c>
      <c r="M20" s="24"/>
      <c r="N20" s="24"/>
      <c r="O20" s="24">
        <f>C20+D20+E20+F20+G20+H20+I20+J20+K20+L20+M20+N20-2684.13</f>
        <v>427806.39999999997</v>
      </c>
      <c r="Y20" s="26"/>
    </row>
    <row r="21" spans="2:25" s="25" customFormat="1" ht="11.25">
      <c r="B21" s="9" t="s">
        <v>33</v>
      </c>
      <c r="C21" s="24"/>
      <c r="D21" s="24"/>
      <c r="E21" s="24"/>
      <c r="F21" s="24"/>
      <c r="G21" s="31"/>
      <c r="H21" s="24"/>
      <c r="I21" s="24"/>
      <c r="J21" s="24"/>
      <c r="K21" s="24"/>
      <c r="L21" s="24"/>
      <c r="M21" s="24"/>
      <c r="N21" s="24"/>
      <c r="O21" s="24">
        <f>C21+D21+E21+F21+G21+H21+I21+J21+K21+L21+M21+N21</f>
        <v>0</v>
      </c>
      <c r="Y21" s="26"/>
    </row>
    <row r="22" spans="2:25" s="25" customFormat="1" ht="11.25">
      <c r="B22" s="16" t="s">
        <v>25</v>
      </c>
      <c r="C22" s="24"/>
      <c r="D22" s="24"/>
      <c r="E22" s="24"/>
      <c r="F22" s="24"/>
      <c r="G22" s="31"/>
      <c r="H22" s="24"/>
      <c r="I22" s="24"/>
      <c r="J22" s="24"/>
      <c r="K22" s="24"/>
      <c r="L22" s="24"/>
      <c r="M22" s="24"/>
      <c r="N22" s="24"/>
      <c r="O22" s="24">
        <f>C22+D22+E22+F22+G22+H22+I22+J22+K22+L22+M22+N22</f>
        <v>0</v>
      </c>
      <c r="Y22" s="26"/>
    </row>
    <row r="23" spans="2:25" s="25" customFormat="1" ht="11.25">
      <c r="B23" s="16"/>
      <c r="C23" s="24"/>
      <c r="D23" s="24"/>
      <c r="E23" s="24"/>
      <c r="F23" s="24"/>
      <c r="G23" s="31"/>
      <c r="H23" s="24"/>
      <c r="I23" s="24"/>
      <c r="J23" s="24"/>
      <c r="K23" s="24"/>
      <c r="L23" s="24"/>
      <c r="M23" s="24"/>
      <c r="N23" s="24"/>
      <c r="O23" s="24"/>
      <c r="Y23" s="26"/>
    </row>
    <row r="24" spans="2:15" s="26" customFormat="1" ht="11.25">
      <c r="B24" s="23" t="s">
        <v>14</v>
      </c>
      <c r="C24" s="23">
        <f aca="true" t="shared" si="2" ref="C24:O24">SUM(C20:C23)</f>
        <v>37900.57</v>
      </c>
      <c r="D24" s="23">
        <f t="shared" si="2"/>
        <v>33513.04</v>
      </c>
      <c r="E24" s="23">
        <f t="shared" si="2"/>
        <v>37838.03</v>
      </c>
      <c r="F24" s="23">
        <f t="shared" si="2"/>
        <v>34325.82</v>
      </c>
      <c r="G24" s="32">
        <f t="shared" si="2"/>
        <v>33090.95</v>
      </c>
      <c r="H24" s="23">
        <f t="shared" si="2"/>
        <v>46247.59</v>
      </c>
      <c r="I24" s="23">
        <f t="shared" si="2"/>
        <v>43936.82</v>
      </c>
      <c r="J24" s="23">
        <f t="shared" si="2"/>
        <v>74647.75</v>
      </c>
      <c r="K24" s="23">
        <f t="shared" si="2"/>
        <v>51255.21</v>
      </c>
      <c r="L24" s="23">
        <f t="shared" si="2"/>
        <v>37734.75</v>
      </c>
      <c r="M24" s="23">
        <f t="shared" si="2"/>
        <v>0</v>
      </c>
      <c r="N24" s="23">
        <f t="shared" si="2"/>
        <v>0</v>
      </c>
      <c r="O24" s="23">
        <f t="shared" si="2"/>
        <v>427806.39999999997</v>
      </c>
    </row>
    <row r="25" spans="2:15" ht="11.25">
      <c r="B25" s="5"/>
      <c r="C25" s="5"/>
      <c r="D25" s="5"/>
      <c r="E25" s="5"/>
      <c r="F25" s="5"/>
      <c r="G25" s="27"/>
      <c r="H25" s="5"/>
      <c r="I25" s="5"/>
      <c r="J25" s="5"/>
      <c r="K25" s="5"/>
      <c r="L25" s="5"/>
      <c r="M25" s="5"/>
      <c r="N25" s="5"/>
      <c r="O25" s="4"/>
    </row>
    <row r="26" spans="2:15" ht="11.25">
      <c r="B26" s="4" t="s">
        <v>17</v>
      </c>
      <c r="C26" s="12">
        <f aca="true" t="shared" si="3" ref="C26:O26">C24/C17</f>
        <v>0.9737007135654508</v>
      </c>
      <c r="D26" s="12">
        <f t="shared" si="3"/>
        <v>0.8609810079834551</v>
      </c>
      <c r="E26" s="12">
        <f t="shared" si="3"/>
        <v>0.9720940030957564</v>
      </c>
      <c r="F26" s="12">
        <f t="shared" si="3"/>
        <v>0.881862078267404</v>
      </c>
      <c r="G26" s="33">
        <f t="shared" si="3"/>
        <v>0.850137125313911</v>
      </c>
      <c r="H26" s="12">
        <f t="shared" si="3"/>
        <v>1.188143381054227</v>
      </c>
      <c r="I26" s="12">
        <f t="shared" si="3"/>
        <v>1.0941922675301965</v>
      </c>
      <c r="J26" s="12">
        <f t="shared" si="3"/>
        <v>1.8590100703357053</v>
      </c>
      <c r="K26" s="12">
        <f t="shared" si="3"/>
        <v>1.2764477368329432</v>
      </c>
      <c r="L26" s="12">
        <f t="shared" si="3"/>
        <v>0.9007540747247711</v>
      </c>
      <c r="M26" s="12" t="e">
        <f t="shared" si="3"/>
        <v>#DIV/0!</v>
      </c>
      <c r="N26" s="12" t="e">
        <f t="shared" si="3"/>
        <v>#DIV/0!</v>
      </c>
      <c r="O26" s="13">
        <f t="shared" si="3"/>
        <v>1.0805876742961462</v>
      </c>
    </row>
    <row r="27" spans="2:15" ht="11.25">
      <c r="B27" s="4"/>
      <c r="C27" s="12"/>
      <c r="D27" s="12"/>
      <c r="E27" s="12"/>
      <c r="F27" s="12"/>
      <c r="G27" s="33"/>
      <c r="H27" s="12"/>
      <c r="I27" s="12"/>
      <c r="J27" s="12"/>
      <c r="K27" s="12"/>
      <c r="L27" s="12"/>
      <c r="M27" s="12"/>
      <c r="N27" s="12"/>
      <c r="O27" s="14"/>
    </row>
    <row r="28" spans="2:15" ht="11.25">
      <c r="B28" s="4" t="s">
        <v>18</v>
      </c>
      <c r="C28" s="7">
        <f aca="true" t="shared" si="4" ref="C28:O28">C17-C24</f>
        <v>1023.6800000000003</v>
      </c>
      <c r="D28" s="7">
        <f t="shared" si="4"/>
        <v>5411.209999999999</v>
      </c>
      <c r="E28" s="7">
        <f t="shared" si="4"/>
        <v>1086.2200000000012</v>
      </c>
      <c r="F28" s="7">
        <f t="shared" si="4"/>
        <v>4598.43</v>
      </c>
      <c r="G28" s="34">
        <f t="shared" si="4"/>
        <v>5833.300000000003</v>
      </c>
      <c r="H28" s="7">
        <f t="shared" si="4"/>
        <v>-7323.3399999999965</v>
      </c>
      <c r="I28" s="7">
        <f t="shared" si="4"/>
        <v>-3782.25</v>
      </c>
      <c r="J28" s="7">
        <f t="shared" si="4"/>
        <v>-34493.18</v>
      </c>
      <c r="K28" s="7">
        <f t="shared" si="4"/>
        <v>-11100.64</v>
      </c>
      <c r="L28" s="7">
        <f t="shared" si="4"/>
        <v>4157.6500000000015</v>
      </c>
      <c r="M28" s="7">
        <f t="shared" si="4"/>
        <v>0</v>
      </c>
      <c r="N28" s="7">
        <f t="shared" si="4"/>
        <v>0</v>
      </c>
      <c r="O28" s="7">
        <f t="shared" si="4"/>
        <v>-31904.78999999992</v>
      </c>
    </row>
    <row r="29" spans="2:15" ht="11.25">
      <c r="B29" s="5"/>
      <c r="C29" s="5"/>
      <c r="D29" s="5"/>
      <c r="E29" s="5"/>
      <c r="F29" s="5"/>
      <c r="G29" s="27"/>
      <c r="H29" s="5"/>
      <c r="I29" s="5"/>
      <c r="J29" s="5"/>
      <c r="K29" s="5"/>
      <c r="L29" s="5"/>
      <c r="M29" s="5"/>
      <c r="N29" s="5"/>
      <c r="O29" s="4"/>
    </row>
    <row r="30" spans="2:25" s="17" customFormat="1" ht="11.25">
      <c r="B30" s="15" t="s">
        <v>19</v>
      </c>
      <c r="C30" s="16"/>
      <c r="D30" s="16"/>
      <c r="E30" s="16"/>
      <c r="F30" s="16"/>
      <c r="G30" s="35"/>
      <c r="H30" s="16"/>
      <c r="I30" s="16"/>
      <c r="J30" s="16"/>
      <c r="K30" s="16"/>
      <c r="L30" s="16"/>
      <c r="M30" s="16"/>
      <c r="N30" s="16"/>
      <c r="O30" s="15"/>
      <c r="Y30" s="18"/>
    </row>
    <row r="31" spans="2:25" s="17" customFormat="1" ht="11.25">
      <c r="B31" s="16"/>
      <c r="C31" s="16"/>
      <c r="D31" s="16"/>
      <c r="E31" s="16"/>
      <c r="F31" s="16"/>
      <c r="G31" s="35"/>
      <c r="H31" s="16"/>
      <c r="I31" s="16"/>
      <c r="J31" s="16"/>
      <c r="K31" s="16"/>
      <c r="L31" s="16"/>
      <c r="M31" s="16"/>
      <c r="N31" s="16"/>
      <c r="O31" s="15"/>
      <c r="Y31" s="18"/>
    </row>
    <row r="32" spans="2:25" s="17" customFormat="1" ht="11.25">
      <c r="B32" s="16" t="s">
        <v>20</v>
      </c>
      <c r="C32" s="16">
        <v>111.1</v>
      </c>
      <c r="D32" s="16">
        <v>288.69</v>
      </c>
      <c r="E32" s="16">
        <v>397.39</v>
      </c>
      <c r="F32" s="16">
        <v>402.63</v>
      </c>
      <c r="G32" s="35">
        <v>653.08</v>
      </c>
      <c r="H32" s="16">
        <v>715.1</v>
      </c>
      <c r="I32" s="16">
        <v>429.96</v>
      </c>
      <c r="J32" s="16">
        <v>294.39</v>
      </c>
      <c r="K32" s="16">
        <v>336.53</v>
      </c>
      <c r="L32" s="16">
        <v>818.28</v>
      </c>
      <c r="M32" s="16"/>
      <c r="N32" s="16"/>
      <c r="O32" s="16">
        <f>C32+D32+E32+F32+G32+H32+I32+J32+K32+L32+M32+N32</f>
        <v>4447.15</v>
      </c>
      <c r="Y32" s="18"/>
    </row>
    <row r="33" spans="2:25" s="17" customFormat="1" ht="11.25">
      <c r="B33" s="16" t="s">
        <v>32</v>
      </c>
      <c r="C33" s="16">
        <f>11903.35+291.02</f>
        <v>12194.37</v>
      </c>
      <c r="D33" s="16">
        <f>11612.32+793.35</f>
        <v>12405.67</v>
      </c>
      <c r="E33" s="16">
        <v>11903.35</v>
      </c>
      <c r="F33" s="16">
        <v>11903.35</v>
      </c>
      <c r="G33" s="35">
        <v>11903.35</v>
      </c>
      <c r="H33" s="16">
        <v>11903.35</v>
      </c>
      <c r="I33" s="16">
        <v>11903.35</v>
      </c>
      <c r="J33" s="16">
        <v>11903.35</v>
      </c>
      <c r="K33" s="16">
        <v>11903.35</v>
      </c>
      <c r="L33" s="16">
        <v>11903.35</v>
      </c>
      <c r="M33" s="16"/>
      <c r="N33" s="16"/>
      <c r="O33" s="16">
        <f aca="true" t="shared" si="5" ref="O33:O55">C33+D33+E33+F33+G33+H33+I33+J33+K33+L33+M33+N33</f>
        <v>119826.84000000003</v>
      </c>
      <c r="Y33" s="18"/>
    </row>
    <row r="34" spans="2:25" s="17" customFormat="1" ht="11.25">
      <c r="B34" s="16" t="s">
        <v>26</v>
      </c>
      <c r="C34" s="16">
        <f>2281.67+978.05</f>
        <v>3259.7200000000003</v>
      </c>
      <c r="D34" s="16">
        <f>3506.62+1183.98</f>
        <v>4690.6</v>
      </c>
      <c r="E34" s="16">
        <f>3506.62+1183.98</f>
        <v>4690.6</v>
      </c>
      <c r="F34" s="16">
        <f>1535.06+1746.13+1183.98</f>
        <v>4465.17</v>
      </c>
      <c r="G34" s="35">
        <f>1760.49+3506.62</f>
        <v>5267.11</v>
      </c>
      <c r="H34" s="16">
        <f>3506.62+1183.98</f>
        <v>4690.6</v>
      </c>
      <c r="I34" s="16">
        <f>3506.62+1183.98</f>
        <v>4690.6</v>
      </c>
      <c r="J34" s="16">
        <f>3506.62+1183.98</f>
        <v>4690.6</v>
      </c>
      <c r="K34" s="16">
        <f>3506.62+1183.98</f>
        <v>4690.6</v>
      </c>
      <c r="L34" s="16">
        <f>3506.62+1183.98</f>
        <v>4690.6</v>
      </c>
      <c r="M34" s="16"/>
      <c r="N34" s="16"/>
      <c r="O34" s="16">
        <f t="shared" si="5"/>
        <v>45826.2</v>
      </c>
      <c r="Y34" s="18"/>
    </row>
    <row r="35" spans="2:25" s="17" customFormat="1" ht="11.25">
      <c r="B35" s="16" t="s">
        <v>27</v>
      </c>
      <c r="C35" s="16">
        <f>874.75+5609.4</f>
        <v>6484.15</v>
      </c>
      <c r="D35" s="16">
        <f>582.04+5609.4</f>
        <v>6191.44</v>
      </c>
      <c r="E35" s="16">
        <v>5609.4</v>
      </c>
      <c r="F35" s="16">
        <v>1746.13</v>
      </c>
      <c r="G35" s="35">
        <f>3863.27+2910.21+1183.98</f>
        <v>7957.459999999999</v>
      </c>
      <c r="H35" s="16">
        <f>2699.18+2910.21</f>
        <v>5609.389999999999</v>
      </c>
      <c r="I35" s="16">
        <f>2699.18+2910.21</f>
        <v>5609.389999999999</v>
      </c>
      <c r="J35" s="16">
        <f>6241.02+141.27</f>
        <v>6382.290000000001</v>
      </c>
      <c r="K35" s="16">
        <f>6241.02+141.27</f>
        <v>6382.290000000001</v>
      </c>
      <c r="L35" s="16">
        <f>6241.02+141.27+2699.18</f>
        <v>9081.470000000001</v>
      </c>
      <c r="M35" s="16"/>
      <c r="N35" s="16"/>
      <c r="O35" s="16">
        <f t="shared" si="5"/>
        <v>61053.41</v>
      </c>
      <c r="Y35" s="18"/>
    </row>
    <row r="36" spans="2:25" s="17" customFormat="1" ht="11.25">
      <c r="B36" s="16" t="s">
        <v>23</v>
      </c>
      <c r="C36" s="16">
        <v>384.2</v>
      </c>
      <c r="D36" s="16">
        <v>1058.34</v>
      </c>
      <c r="E36" s="16">
        <v>5826.83</v>
      </c>
      <c r="F36" s="16">
        <v>1462.06</v>
      </c>
      <c r="G36" s="35">
        <v>1056.27</v>
      </c>
      <c r="H36" s="16">
        <v>653.22</v>
      </c>
      <c r="I36" s="16">
        <v>1500</v>
      </c>
      <c r="J36" s="16"/>
      <c r="K36" s="16">
        <v>3705.34</v>
      </c>
      <c r="L36" s="16"/>
      <c r="M36" s="16"/>
      <c r="N36" s="16"/>
      <c r="O36" s="16">
        <f t="shared" si="5"/>
        <v>15646.26</v>
      </c>
      <c r="Y36" s="18"/>
    </row>
    <row r="37" spans="2:25" s="17" customFormat="1" ht="11.25">
      <c r="B37" s="19" t="s">
        <v>28</v>
      </c>
      <c r="C37" s="16">
        <v>33.72</v>
      </c>
      <c r="D37" s="16">
        <v>33.72</v>
      </c>
      <c r="E37" s="16">
        <v>33.72</v>
      </c>
      <c r="F37" s="16">
        <v>33.72</v>
      </c>
      <c r="G37" s="35"/>
      <c r="H37" s="16"/>
      <c r="I37" s="16">
        <v>33.72</v>
      </c>
      <c r="J37" s="16">
        <v>33.72</v>
      </c>
      <c r="K37" s="16">
        <v>33.72</v>
      </c>
      <c r="L37" s="16">
        <v>33.72</v>
      </c>
      <c r="M37" s="16"/>
      <c r="N37" s="16"/>
      <c r="O37" s="16">
        <f t="shared" si="5"/>
        <v>269.76</v>
      </c>
      <c r="Y37" s="18"/>
    </row>
    <row r="38" spans="2:25" s="17" customFormat="1" ht="11.25">
      <c r="B38" s="16" t="s">
        <v>29</v>
      </c>
      <c r="C38" s="16">
        <v>3900</v>
      </c>
      <c r="D38" s="16">
        <v>3900</v>
      </c>
      <c r="E38" s="16">
        <v>3900</v>
      </c>
      <c r="F38" s="16">
        <v>1950</v>
      </c>
      <c r="G38" s="35">
        <f>1950+1950</f>
        <v>3900</v>
      </c>
      <c r="H38" s="16">
        <f>1950+1950</f>
        <v>3900</v>
      </c>
      <c r="I38" s="16">
        <f>1950+1950</f>
        <v>3900</v>
      </c>
      <c r="J38" s="16">
        <v>1950</v>
      </c>
      <c r="K38" s="16"/>
      <c r="L38" s="16"/>
      <c r="M38" s="16"/>
      <c r="N38" s="16"/>
      <c r="O38" s="16">
        <f t="shared" si="5"/>
        <v>27300</v>
      </c>
      <c r="Y38" s="18"/>
    </row>
    <row r="39" spans="2:25" s="17" customFormat="1" ht="11.25">
      <c r="B39" s="16" t="s">
        <v>25</v>
      </c>
      <c r="C39" s="16">
        <v>1350</v>
      </c>
      <c r="D39" s="16">
        <v>1350</v>
      </c>
      <c r="E39" s="16"/>
      <c r="F39" s="16">
        <f>1350+1350</f>
        <v>2700</v>
      </c>
      <c r="G39" s="35">
        <v>1350</v>
      </c>
      <c r="H39" s="16">
        <v>1350</v>
      </c>
      <c r="I39" s="16">
        <v>1350</v>
      </c>
      <c r="J39" s="16"/>
      <c r="K39" s="16"/>
      <c r="L39" s="16">
        <v>2700</v>
      </c>
      <c r="M39" s="16"/>
      <c r="N39" s="16"/>
      <c r="O39" s="16">
        <f t="shared" si="5"/>
        <v>12150</v>
      </c>
      <c r="Y39" s="18"/>
    </row>
    <row r="40" spans="2:25" s="17" customFormat="1" ht="11.25">
      <c r="B40" s="16" t="s">
        <v>31</v>
      </c>
      <c r="C40" s="16">
        <f>1842.61+233.35</f>
        <v>2075.96</v>
      </c>
      <c r="D40" s="16">
        <f>1282.81+793.35</f>
        <v>2076.16</v>
      </c>
      <c r="E40" s="16"/>
      <c r="F40" s="16">
        <f>1459.8+616.36</f>
        <v>2076.16</v>
      </c>
      <c r="G40" s="35">
        <f>1461.86+614.31</f>
        <v>2076.17</v>
      </c>
      <c r="H40" s="16"/>
      <c r="I40" s="16">
        <f>1432.82+1380.22+643.34+695.94</f>
        <v>4152.32</v>
      </c>
      <c r="J40" s="16">
        <f>1532.93+543.24</f>
        <v>2076.17</v>
      </c>
      <c r="K40" s="16">
        <f>1604.51+471.66</f>
        <v>2076.17</v>
      </c>
      <c r="L40" s="16">
        <v>2076.17</v>
      </c>
      <c r="M40" s="16"/>
      <c r="N40" s="16"/>
      <c r="O40" s="16">
        <f t="shared" si="5"/>
        <v>18685.28</v>
      </c>
      <c r="Y40" s="18"/>
    </row>
    <row r="41" spans="2:25" s="17" customFormat="1" ht="11.25">
      <c r="B41" s="16" t="s">
        <v>30</v>
      </c>
      <c r="C41" s="16">
        <v>538.26</v>
      </c>
      <c r="D41" s="16">
        <v>538.26</v>
      </c>
      <c r="E41" s="16">
        <v>538.26</v>
      </c>
      <c r="F41" s="16">
        <v>538.26</v>
      </c>
      <c r="G41" s="35">
        <v>538.26</v>
      </c>
      <c r="H41" s="16">
        <v>538.26</v>
      </c>
      <c r="I41" s="16">
        <v>538.26</v>
      </c>
      <c r="J41" s="16">
        <v>538.26</v>
      </c>
      <c r="K41" s="16">
        <v>538.26</v>
      </c>
      <c r="L41" s="16">
        <v>538.26</v>
      </c>
      <c r="M41" s="16"/>
      <c r="N41" s="16"/>
      <c r="O41" s="16">
        <f t="shared" si="5"/>
        <v>5382.600000000001</v>
      </c>
      <c r="Y41" s="18"/>
    </row>
    <row r="42" spans="2:25" s="17" customFormat="1" ht="11.25">
      <c r="B42" s="16" t="s">
        <v>24</v>
      </c>
      <c r="C42" s="16">
        <v>102.36</v>
      </c>
      <c r="D42" s="16">
        <v>352.48</v>
      </c>
      <c r="E42" s="16">
        <v>117.65</v>
      </c>
      <c r="F42" s="16">
        <v>401.97</v>
      </c>
      <c r="G42" s="35"/>
      <c r="H42" s="16">
        <v>201.65</v>
      </c>
      <c r="I42" s="16">
        <v>408</v>
      </c>
      <c r="J42" s="16">
        <v>374.82</v>
      </c>
      <c r="K42" s="16">
        <v>202.82</v>
      </c>
      <c r="L42" s="16">
        <v>479.09</v>
      </c>
      <c r="M42" s="16"/>
      <c r="N42" s="16"/>
      <c r="O42" s="16">
        <f t="shared" si="5"/>
        <v>2640.84</v>
      </c>
      <c r="Y42" s="18"/>
    </row>
    <row r="43" spans="2:25" s="17" customFormat="1" ht="11.25">
      <c r="B43" s="16" t="s">
        <v>34</v>
      </c>
      <c r="C43" s="16">
        <v>1500</v>
      </c>
      <c r="D43" s="16">
        <v>842</v>
      </c>
      <c r="E43" s="16">
        <v>1500</v>
      </c>
      <c r="F43" s="16">
        <v>1500</v>
      </c>
      <c r="G43" s="35">
        <v>1500</v>
      </c>
      <c r="H43" s="16">
        <v>1500</v>
      </c>
      <c r="I43" s="16"/>
      <c r="J43" s="16">
        <f>1500+1500</f>
        <v>3000</v>
      </c>
      <c r="K43" s="16">
        <v>1500</v>
      </c>
      <c r="L43" s="16">
        <v>1500</v>
      </c>
      <c r="M43" s="16"/>
      <c r="N43" s="16"/>
      <c r="O43" s="16">
        <f t="shared" si="5"/>
        <v>14342</v>
      </c>
      <c r="Y43" s="18"/>
    </row>
    <row r="44" spans="2:25" s="17" customFormat="1" ht="11.25">
      <c r="B44" s="16" t="s">
        <v>35</v>
      </c>
      <c r="C44" s="16"/>
      <c r="D44" s="16"/>
      <c r="E44" s="16"/>
      <c r="F44" s="16"/>
      <c r="G44" s="35">
        <v>1500</v>
      </c>
      <c r="H44" s="16">
        <f>1500+1097.2</f>
        <v>2597.2</v>
      </c>
      <c r="I44" s="16">
        <v>800</v>
      </c>
      <c r="J44" s="16">
        <v>3000</v>
      </c>
      <c r="K44" s="16"/>
      <c r="L44" s="16"/>
      <c r="M44" s="16"/>
      <c r="N44" s="16"/>
      <c r="O44" s="16">
        <f t="shared" si="5"/>
        <v>7897.2</v>
      </c>
      <c r="Y44" s="18"/>
    </row>
    <row r="45" spans="2:25" s="17" customFormat="1" ht="11.25">
      <c r="B45" s="16" t="s">
        <v>36</v>
      </c>
      <c r="C45" s="16"/>
      <c r="D45" s="16"/>
      <c r="E45" s="16">
        <v>11640.85</v>
      </c>
      <c r="F45" s="16"/>
      <c r="G45" s="35"/>
      <c r="H45" s="16"/>
      <c r="I45" s="16"/>
      <c r="J45" s="16"/>
      <c r="K45" s="16"/>
      <c r="L45" s="16"/>
      <c r="M45" s="16"/>
      <c r="N45" s="16"/>
      <c r="O45" s="16">
        <f t="shared" si="5"/>
        <v>11640.85</v>
      </c>
      <c r="Y45" s="18"/>
    </row>
    <row r="46" spans="2:25" s="17" customFormat="1" ht="11.25">
      <c r="B46" s="16"/>
      <c r="C46" s="16"/>
      <c r="D46" s="16"/>
      <c r="E46" s="16"/>
      <c r="F46" s="16"/>
      <c r="G46" s="35"/>
      <c r="H46" s="16"/>
      <c r="I46" s="16"/>
      <c r="J46" s="16"/>
      <c r="K46" s="16"/>
      <c r="L46" s="16"/>
      <c r="M46" s="16"/>
      <c r="N46" s="16"/>
      <c r="O46" s="16"/>
      <c r="Y46" s="18"/>
    </row>
    <row r="47" spans="2:25" s="17" customFormat="1" ht="11.25">
      <c r="B47" s="41" t="s">
        <v>107</v>
      </c>
      <c r="C47" s="16"/>
      <c r="D47" s="16"/>
      <c r="E47" s="16"/>
      <c r="F47" s="16"/>
      <c r="G47" s="35"/>
      <c r="H47" s="16"/>
      <c r="I47" s="16"/>
      <c r="J47" s="16"/>
      <c r="K47" s="16"/>
      <c r="L47" s="16"/>
      <c r="M47" s="16"/>
      <c r="N47" s="16"/>
      <c r="O47" s="16">
        <v>12023.9</v>
      </c>
      <c r="Y47" s="18"/>
    </row>
    <row r="48" spans="2:25" s="17" customFormat="1" ht="11.25">
      <c r="B48" s="16" t="s">
        <v>57</v>
      </c>
      <c r="C48" s="16"/>
      <c r="D48" s="16"/>
      <c r="E48" s="16"/>
      <c r="F48" s="16">
        <v>6000</v>
      </c>
      <c r="G48" s="35"/>
      <c r="H48" s="16"/>
      <c r="I48" s="16"/>
      <c r="J48" s="16"/>
      <c r="K48" s="16"/>
      <c r="L48" s="16"/>
      <c r="M48" s="16"/>
      <c r="N48" s="16"/>
      <c r="O48" s="16">
        <f t="shared" si="5"/>
        <v>6000</v>
      </c>
      <c r="Y48" s="18"/>
    </row>
    <row r="49" spans="2:25" s="17" customFormat="1" ht="11.25">
      <c r="B49" s="16" t="s">
        <v>63</v>
      </c>
      <c r="C49" s="16">
        <v>1165.39</v>
      </c>
      <c r="D49" s="16">
        <v>1165.39</v>
      </c>
      <c r="E49" s="16"/>
      <c r="F49" s="16"/>
      <c r="G49" s="35"/>
      <c r="H49" s="16"/>
      <c r="I49" s="16"/>
      <c r="J49" s="16"/>
      <c r="K49" s="16"/>
      <c r="L49" s="16"/>
      <c r="M49" s="16"/>
      <c r="N49" s="16"/>
      <c r="O49" s="16">
        <f t="shared" si="5"/>
        <v>2330.78</v>
      </c>
      <c r="Y49" s="18"/>
    </row>
    <row r="50" spans="2:25" s="17" customFormat="1" ht="11.25">
      <c r="B50" s="16" t="s">
        <v>78</v>
      </c>
      <c r="C50" s="16"/>
      <c r="D50" s="16"/>
      <c r="E50" s="16"/>
      <c r="F50" s="16"/>
      <c r="G50" s="35">
        <v>4000</v>
      </c>
      <c r="H50" s="16"/>
      <c r="I50" s="16"/>
      <c r="J50" s="16"/>
      <c r="K50" s="16"/>
      <c r="L50" s="16"/>
      <c r="M50" s="16"/>
      <c r="N50" s="16"/>
      <c r="O50" s="16">
        <f t="shared" si="5"/>
        <v>4000</v>
      </c>
      <c r="Y50" s="18"/>
    </row>
    <row r="51" spans="2:25" s="17" customFormat="1" ht="11.25">
      <c r="B51" s="19" t="s">
        <v>79</v>
      </c>
      <c r="C51" s="16"/>
      <c r="D51" s="16"/>
      <c r="E51" s="16"/>
      <c r="F51" s="16"/>
      <c r="G51" s="35">
        <v>2000</v>
      </c>
      <c r="H51" s="16"/>
      <c r="I51" s="16"/>
      <c r="J51" s="16"/>
      <c r="K51" s="16"/>
      <c r="L51" s="16"/>
      <c r="M51" s="16"/>
      <c r="N51" s="16"/>
      <c r="O51" s="16">
        <f t="shared" si="5"/>
        <v>2000</v>
      </c>
      <c r="Y51" s="18"/>
    </row>
    <row r="52" spans="2:25" s="17" customFormat="1" ht="11.25">
      <c r="B52" s="16" t="s">
        <v>69</v>
      </c>
      <c r="C52" s="16"/>
      <c r="D52" s="16"/>
      <c r="E52" s="16"/>
      <c r="F52" s="16"/>
      <c r="G52" s="35"/>
      <c r="H52" s="16"/>
      <c r="I52" s="16"/>
      <c r="J52" s="16">
        <v>5000</v>
      </c>
      <c r="K52" s="16"/>
      <c r="L52" s="16"/>
      <c r="M52" s="16"/>
      <c r="N52" s="16"/>
      <c r="O52" s="16">
        <f t="shared" si="5"/>
        <v>5000</v>
      </c>
      <c r="Y52" s="18"/>
    </row>
    <row r="53" spans="2:25" s="17" customFormat="1" ht="11.25">
      <c r="B53" s="16" t="s">
        <v>70</v>
      </c>
      <c r="C53" s="16"/>
      <c r="D53" s="16"/>
      <c r="E53" s="16"/>
      <c r="F53" s="16"/>
      <c r="G53" s="35"/>
      <c r="H53" s="16"/>
      <c r="I53" s="16"/>
      <c r="J53" s="16">
        <v>1338.7</v>
      </c>
      <c r="K53" s="16"/>
      <c r="L53" s="16"/>
      <c r="M53" s="16"/>
      <c r="N53" s="16"/>
      <c r="O53" s="16">
        <f t="shared" si="5"/>
        <v>1338.7</v>
      </c>
      <c r="Y53" s="18"/>
    </row>
    <row r="54" spans="2:25" s="17" customFormat="1" ht="11.25">
      <c r="B54" s="16"/>
      <c r="C54" s="16"/>
      <c r="D54" s="16"/>
      <c r="E54" s="16"/>
      <c r="F54" s="16"/>
      <c r="G54" s="35"/>
      <c r="H54" s="16"/>
      <c r="I54" s="16"/>
      <c r="J54" s="16"/>
      <c r="K54" s="16"/>
      <c r="L54" s="16"/>
      <c r="M54" s="16"/>
      <c r="N54" s="16"/>
      <c r="O54" s="16">
        <f t="shared" si="5"/>
        <v>0</v>
      </c>
      <c r="Y54" s="18"/>
    </row>
    <row r="55" spans="2:25" s="17" customFormat="1" ht="11.25">
      <c r="B55" s="16"/>
      <c r="C55" s="16"/>
      <c r="D55" s="16"/>
      <c r="E55" s="16"/>
      <c r="F55" s="16"/>
      <c r="G55" s="35"/>
      <c r="H55" s="16"/>
      <c r="I55" s="16"/>
      <c r="J55" s="16"/>
      <c r="K55" s="16"/>
      <c r="L55" s="16"/>
      <c r="M55" s="16"/>
      <c r="N55" s="16"/>
      <c r="O55" s="16">
        <f t="shared" si="5"/>
        <v>0</v>
      </c>
      <c r="Y55" s="18"/>
    </row>
    <row r="56" spans="2:25" s="17" customFormat="1" ht="11.25">
      <c r="B56" s="15" t="s">
        <v>14</v>
      </c>
      <c r="C56" s="15">
        <f aca="true" t="shared" si="6" ref="C56:O56">SUM(C32:C55)</f>
        <v>33099.23</v>
      </c>
      <c r="D56" s="15">
        <f t="shared" si="6"/>
        <v>34892.75</v>
      </c>
      <c r="E56" s="15">
        <f t="shared" si="6"/>
        <v>46158.05</v>
      </c>
      <c r="F56" s="15">
        <f t="shared" si="6"/>
        <v>35179.450000000004</v>
      </c>
      <c r="G56" s="36">
        <f t="shared" si="6"/>
        <v>43701.700000000004</v>
      </c>
      <c r="H56" s="15">
        <f t="shared" si="6"/>
        <v>33658.770000000004</v>
      </c>
      <c r="I56" s="15">
        <f t="shared" si="6"/>
        <v>35315.6</v>
      </c>
      <c r="J56" s="15">
        <f t="shared" si="6"/>
        <v>40582.3</v>
      </c>
      <c r="K56" s="15">
        <f t="shared" si="6"/>
        <v>31369.080000000005</v>
      </c>
      <c r="L56" s="15">
        <f t="shared" si="6"/>
        <v>33820.94</v>
      </c>
      <c r="M56" s="15">
        <f t="shared" si="6"/>
        <v>0</v>
      </c>
      <c r="N56" s="15">
        <f t="shared" si="6"/>
        <v>0</v>
      </c>
      <c r="O56" s="15">
        <f t="shared" si="6"/>
        <v>379801.7700000001</v>
      </c>
      <c r="Y56" s="18"/>
    </row>
    <row r="57" ht="11.25">
      <c r="G57" s="37"/>
    </row>
    <row r="58" spans="2:15" ht="11.25">
      <c r="B58" s="20" t="s">
        <v>109</v>
      </c>
      <c r="C58" s="21">
        <f aca="true" t="shared" si="7" ref="C58:O58">C9+C24-C56</f>
        <v>40986.50999999999</v>
      </c>
      <c r="D58" s="21">
        <f t="shared" si="7"/>
        <v>39606.79999999999</v>
      </c>
      <c r="E58" s="21">
        <f t="shared" si="7"/>
        <v>31286.779999999984</v>
      </c>
      <c r="F58" s="21">
        <f t="shared" si="7"/>
        <v>30433.149999999972</v>
      </c>
      <c r="G58" s="38">
        <f t="shared" si="7"/>
        <v>19822.399999999965</v>
      </c>
      <c r="H58" s="21">
        <f t="shared" si="7"/>
        <v>32411.219999999958</v>
      </c>
      <c r="I58" s="21">
        <f t="shared" si="7"/>
        <v>41032.43999999995</v>
      </c>
      <c r="J58" s="21">
        <f t="shared" si="7"/>
        <v>75097.88999999994</v>
      </c>
      <c r="K58" s="21">
        <f t="shared" si="7"/>
        <v>94984.01999999995</v>
      </c>
      <c r="L58" s="38">
        <f t="shared" si="7"/>
        <v>98897.82999999996</v>
      </c>
      <c r="M58" s="21">
        <f t="shared" si="7"/>
        <v>98897.82999999996</v>
      </c>
      <c r="N58" s="21">
        <f t="shared" si="7"/>
        <v>98897.82999999996</v>
      </c>
      <c r="O58" s="42">
        <f t="shared" si="7"/>
        <v>84189.79999999987</v>
      </c>
    </row>
    <row r="59" spans="2:15" s="3" customFormat="1" ht="11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ht="11.25">
      <c r="B60" s="2" t="s">
        <v>21</v>
      </c>
    </row>
    <row r="61" ht="11.25">
      <c r="B61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Y58"/>
  <sheetViews>
    <sheetView zoomScale="90" zoomScaleNormal="90" zoomScalePageLayoutView="0" workbookViewId="0" topLeftCell="A1">
      <pane xSplit="2" ySplit="5" topLeftCell="O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55" sqref="O55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2">
      <c r="B1" s="44" t="s">
        <v>105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2:16" ht="12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2:15" ht="12">
      <c r="B3" s="45" t="s">
        <v>106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2">
      <c r="B4" s="45" t="s">
        <v>123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6" spans="2:15" ht="11.25">
      <c r="B6" s="5"/>
      <c r="C6" s="5"/>
      <c r="D6" s="5"/>
      <c r="E6" s="5"/>
      <c r="F6" s="5"/>
      <c r="G6" s="27"/>
      <c r="H6" s="5"/>
      <c r="I6" s="5"/>
      <c r="J6" s="5"/>
      <c r="K6" s="5"/>
      <c r="L6" s="5"/>
      <c r="M6" s="5"/>
      <c r="N6" s="5"/>
      <c r="O6" s="4"/>
    </row>
    <row r="7" spans="2:15" ht="11.25">
      <c r="B7" s="4" t="s">
        <v>39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1.25">
      <c r="B8" s="5" t="s">
        <v>13</v>
      </c>
      <c r="C8" s="5">
        <v>-10713.66</v>
      </c>
      <c r="D8" s="5"/>
      <c r="E8" s="5"/>
      <c r="F8" s="5"/>
      <c r="G8" s="27"/>
      <c r="H8" s="5"/>
      <c r="I8" s="5"/>
      <c r="J8" s="5"/>
      <c r="K8" s="5"/>
      <c r="L8" s="5"/>
      <c r="M8" s="5"/>
      <c r="N8" s="5"/>
      <c r="O8" s="5">
        <f>C8+D8+E8+F8+G8+H8+I8+J8+K8+L8+M8+N8</f>
        <v>-10713.66</v>
      </c>
    </row>
    <row r="9" spans="2:15" s="3" customFormat="1" ht="11.25">
      <c r="B9" s="4" t="s">
        <v>14</v>
      </c>
      <c r="C9" s="4">
        <f>C8</f>
        <v>-10713.66</v>
      </c>
      <c r="D9" s="4">
        <f aca="true" t="shared" si="0" ref="D9:I9">C55</f>
        <v>-16385.99</v>
      </c>
      <c r="E9" s="4">
        <f t="shared" si="0"/>
        <v>-9343.540000000005</v>
      </c>
      <c r="F9" s="4">
        <f t="shared" si="0"/>
        <v>-27725.280000000006</v>
      </c>
      <c r="G9" s="28">
        <f t="shared" si="0"/>
        <v>-23110.65000000001</v>
      </c>
      <c r="H9" s="4">
        <f t="shared" si="0"/>
        <v>-20650.240000000013</v>
      </c>
      <c r="I9" s="4">
        <f t="shared" si="0"/>
        <v>-17818.180000000015</v>
      </c>
      <c r="J9" s="4">
        <f>I55</f>
        <v>-21569.000000000015</v>
      </c>
      <c r="K9" s="4">
        <f>J55</f>
        <v>-2888.200000000008</v>
      </c>
      <c r="L9" s="4">
        <f>K55</f>
        <v>9208.37999999999</v>
      </c>
      <c r="M9" s="4">
        <f>L55</f>
        <v>12381.869999999988</v>
      </c>
      <c r="N9" s="4">
        <f>M55</f>
        <v>12381.869999999988</v>
      </c>
      <c r="O9" s="4">
        <f>O8</f>
        <v>-10713.66</v>
      </c>
    </row>
    <row r="10" spans="2:15" ht="11.25">
      <c r="B10" s="5"/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1.25">
      <c r="B11" s="5"/>
      <c r="C11" s="5"/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4"/>
    </row>
    <row r="12" spans="2:25" s="10" customFormat="1" ht="11.25">
      <c r="B12" s="8" t="s">
        <v>15</v>
      </c>
      <c r="C12" s="9"/>
      <c r="D12" s="9"/>
      <c r="E12" s="9"/>
      <c r="F12" s="9"/>
      <c r="G12" s="29"/>
      <c r="H12" s="9"/>
      <c r="I12" s="9"/>
      <c r="J12" s="9"/>
      <c r="K12" s="9"/>
      <c r="L12" s="9"/>
      <c r="M12" s="9"/>
      <c r="N12" s="9"/>
      <c r="O12" s="8"/>
      <c r="Y12" s="11"/>
    </row>
    <row r="13" spans="2:25" s="10" customFormat="1" ht="11.25">
      <c r="B13" s="9" t="s">
        <v>13</v>
      </c>
      <c r="C13" s="9">
        <v>38188.05</v>
      </c>
      <c r="D13" s="9">
        <v>38188.05</v>
      </c>
      <c r="E13" s="9">
        <v>38188.05</v>
      </c>
      <c r="F13" s="9">
        <v>38188.05</v>
      </c>
      <c r="G13" s="9">
        <v>38188.05</v>
      </c>
      <c r="H13" s="9">
        <v>38188.05</v>
      </c>
      <c r="I13" s="9">
        <v>38188.05</v>
      </c>
      <c r="J13" s="9">
        <v>38188.05</v>
      </c>
      <c r="K13" s="9">
        <v>38188.05</v>
      </c>
      <c r="L13" s="9">
        <v>35264.71</v>
      </c>
      <c r="M13" s="9"/>
      <c r="N13" s="9"/>
      <c r="O13" s="9">
        <f>C13+D13+E13+F13+G13+H13+I13+J13+K13+L13+M13+N13</f>
        <v>378957.16</v>
      </c>
      <c r="Y13" s="11"/>
    </row>
    <row r="14" spans="2:25" s="10" customFormat="1" ht="11.25">
      <c r="B14" s="9" t="s">
        <v>33</v>
      </c>
      <c r="C14" s="9"/>
      <c r="D14" s="9"/>
      <c r="E14" s="9"/>
      <c r="F14" s="9"/>
      <c r="G14" s="29"/>
      <c r="H14" s="9"/>
      <c r="I14" s="9"/>
      <c r="J14" s="9"/>
      <c r="K14" s="9"/>
      <c r="L14" s="9">
        <v>4492.71</v>
      </c>
      <c r="M14" s="9"/>
      <c r="N14" s="9"/>
      <c r="O14" s="9">
        <f>C14+D14+E14+F14+G14+H14+I14+J14+K14+L14+M14+N14</f>
        <v>4492.71</v>
      </c>
      <c r="Y14" s="11"/>
    </row>
    <row r="15" spans="2:25" s="10" customFormat="1" ht="11.25">
      <c r="B15" s="16" t="s">
        <v>25</v>
      </c>
      <c r="C15" s="9"/>
      <c r="D15" s="9"/>
      <c r="E15" s="9"/>
      <c r="F15" s="9"/>
      <c r="G15" s="29"/>
      <c r="H15" s="9"/>
      <c r="I15" s="9"/>
      <c r="J15" s="9"/>
      <c r="K15" s="9"/>
      <c r="L15" s="9"/>
      <c r="M15" s="9"/>
      <c r="N15" s="9"/>
      <c r="O15" s="9">
        <f>C15+D15+E15+F15+G15+H15+I15+J15+K15+L15+M15+N15</f>
        <v>0</v>
      </c>
      <c r="Y15" s="11"/>
    </row>
    <row r="16" spans="2:25" s="10" customFormat="1" ht="11.25">
      <c r="B16" s="16"/>
      <c r="C16" s="9"/>
      <c r="D16" s="9"/>
      <c r="E16" s="9"/>
      <c r="F16" s="9"/>
      <c r="G16" s="29"/>
      <c r="H16" s="9"/>
      <c r="I16" s="9"/>
      <c r="J16" s="9"/>
      <c r="K16" s="9"/>
      <c r="L16" s="9"/>
      <c r="M16" s="9"/>
      <c r="N16" s="9"/>
      <c r="O16" s="9"/>
      <c r="Y16" s="11"/>
    </row>
    <row r="17" spans="2:15" s="11" customFormat="1" ht="11.25">
      <c r="B17" s="8" t="s">
        <v>14</v>
      </c>
      <c r="C17" s="8">
        <f aca="true" t="shared" si="1" ref="C17:N17">SUM(C11:C15)</f>
        <v>38188.05</v>
      </c>
      <c r="D17" s="8">
        <f t="shared" si="1"/>
        <v>38188.05</v>
      </c>
      <c r="E17" s="8">
        <f t="shared" si="1"/>
        <v>38188.05</v>
      </c>
      <c r="F17" s="8">
        <f t="shared" si="1"/>
        <v>38188.05</v>
      </c>
      <c r="G17" s="30">
        <f t="shared" si="1"/>
        <v>38188.05</v>
      </c>
      <c r="H17" s="8">
        <f t="shared" si="1"/>
        <v>38188.05</v>
      </c>
      <c r="I17" s="8">
        <f t="shared" si="1"/>
        <v>38188.05</v>
      </c>
      <c r="J17" s="8">
        <f t="shared" si="1"/>
        <v>38188.05</v>
      </c>
      <c r="K17" s="8">
        <f t="shared" si="1"/>
        <v>38188.05</v>
      </c>
      <c r="L17" s="8">
        <f t="shared" si="1"/>
        <v>39757.42</v>
      </c>
      <c r="M17" s="8">
        <f t="shared" si="1"/>
        <v>0</v>
      </c>
      <c r="N17" s="8">
        <f t="shared" si="1"/>
        <v>0</v>
      </c>
      <c r="O17" s="8">
        <f>C17+D17+E17+F17+G17+H17+I17+J17+K17+L17+M17+N17</f>
        <v>383449.86999999994</v>
      </c>
    </row>
    <row r="18" spans="2:15" ht="11.25">
      <c r="B18" s="5"/>
      <c r="C18" s="5"/>
      <c r="D18" s="5"/>
      <c r="E18" s="5"/>
      <c r="F18" s="5"/>
      <c r="G18" s="27"/>
      <c r="H18" s="5"/>
      <c r="I18" s="5"/>
      <c r="J18" s="5"/>
      <c r="K18" s="5"/>
      <c r="L18" s="5"/>
      <c r="M18" s="5"/>
      <c r="N18" s="5"/>
      <c r="O18" s="4"/>
    </row>
    <row r="19" spans="2:25" s="25" customFormat="1" ht="11.25">
      <c r="B19" s="23" t="s">
        <v>16</v>
      </c>
      <c r="C19" s="24"/>
      <c r="D19" s="24"/>
      <c r="E19" s="24"/>
      <c r="F19" s="24"/>
      <c r="G19" s="31"/>
      <c r="H19" s="24"/>
      <c r="I19" s="24"/>
      <c r="J19" s="24"/>
      <c r="K19" s="24"/>
      <c r="L19" s="24"/>
      <c r="M19" s="24"/>
      <c r="N19" s="24"/>
      <c r="O19" s="23"/>
      <c r="Y19" s="26"/>
    </row>
    <row r="20" spans="2:25" s="25" customFormat="1" ht="11.25">
      <c r="B20" s="24" t="s">
        <v>13</v>
      </c>
      <c r="C20" s="24">
        <v>26273.09</v>
      </c>
      <c r="D20" s="24">
        <v>41440.12</v>
      </c>
      <c r="E20" s="24">
        <v>27537.8</v>
      </c>
      <c r="F20" s="24">
        <v>37361.6</v>
      </c>
      <c r="G20" s="31">
        <v>38675.21</v>
      </c>
      <c r="H20" s="24">
        <v>35037.74</v>
      </c>
      <c r="I20" s="24">
        <v>33011.61</v>
      </c>
      <c r="J20" s="24">
        <f>50195.91+347.37</f>
        <v>50543.280000000006</v>
      </c>
      <c r="K20" s="24">
        <v>39771.97</v>
      </c>
      <c r="L20" s="24">
        <v>38522.31</v>
      </c>
      <c r="M20" s="24"/>
      <c r="N20" s="24"/>
      <c r="O20" s="24">
        <f>C20+D20+E20+F20+G20+H20+I20+J20+K20+L20+M20+N20-2686</f>
        <v>365488.73000000004</v>
      </c>
      <c r="Y20" s="26"/>
    </row>
    <row r="21" spans="2:25" s="25" customFormat="1" ht="11.25">
      <c r="B21" s="9" t="s">
        <v>33</v>
      </c>
      <c r="C21" s="24"/>
      <c r="D21" s="24"/>
      <c r="E21" s="24"/>
      <c r="F21" s="24"/>
      <c r="G21" s="31"/>
      <c r="H21" s="24"/>
      <c r="I21" s="24"/>
      <c r="J21" s="24"/>
      <c r="K21" s="24"/>
      <c r="L21" s="24"/>
      <c r="M21" s="24"/>
      <c r="N21" s="24"/>
      <c r="O21" s="24">
        <f>C21+D21+E21+F21+G21+H21+I21+J21+K21+L21+M21+N21</f>
        <v>0</v>
      </c>
      <c r="Y21" s="26"/>
    </row>
    <row r="22" spans="2:25" s="25" customFormat="1" ht="11.25">
      <c r="B22" s="16" t="s">
        <v>25</v>
      </c>
      <c r="C22" s="24"/>
      <c r="D22" s="24"/>
      <c r="E22" s="24"/>
      <c r="F22" s="24"/>
      <c r="G22" s="31"/>
      <c r="H22" s="24"/>
      <c r="I22" s="24"/>
      <c r="J22" s="24"/>
      <c r="K22" s="24"/>
      <c r="L22" s="24"/>
      <c r="M22" s="24"/>
      <c r="N22" s="24"/>
      <c r="O22" s="24">
        <f>C22+D22+E22+F22+G22+H22+I22+J22+K22+L22+M22+N22</f>
        <v>0</v>
      </c>
      <c r="Y22" s="26"/>
    </row>
    <row r="23" spans="2:25" s="25" customFormat="1" ht="11.25">
      <c r="B23" s="16"/>
      <c r="C23" s="24"/>
      <c r="D23" s="24"/>
      <c r="E23" s="24"/>
      <c r="F23" s="24"/>
      <c r="G23" s="31"/>
      <c r="H23" s="24"/>
      <c r="I23" s="24"/>
      <c r="J23" s="24"/>
      <c r="K23" s="24"/>
      <c r="L23" s="24"/>
      <c r="M23" s="24"/>
      <c r="N23" s="24"/>
      <c r="O23" s="24"/>
      <c r="Y23" s="26"/>
    </row>
    <row r="24" spans="2:15" s="26" customFormat="1" ht="11.25">
      <c r="B24" s="23" t="s">
        <v>14</v>
      </c>
      <c r="C24" s="23">
        <f aca="true" t="shared" si="2" ref="C24:O24">SUM(C20:C23)</f>
        <v>26273.09</v>
      </c>
      <c r="D24" s="23">
        <f t="shared" si="2"/>
        <v>41440.12</v>
      </c>
      <c r="E24" s="23">
        <f t="shared" si="2"/>
        <v>27537.8</v>
      </c>
      <c r="F24" s="23">
        <f t="shared" si="2"/>
        <v>37361.6</v>
      </c>
      <c r="G24" s="32">
        <f t="shared" si="2"/>
        <v>38675.21</v>
      </c>
      <c r="H24" s="23">
        <f t="shared" si="2"/>
        <v>35037.74</v>
      </c>
      <c r="I24" s="23">
        <f t="shared" si="2"/>
        <v>33011.61</v>
      </c>
      <c r="J24" s="23">
        <f t="shared" si="2"/>
        <v>50543.280000000006</v>
      </c>
      <c r="K24" s="23">
        <f t="shared" si="2"/>
        <v>39771.97</v>
      </c>
      <c r="L24" s="23">
        <f t="shared" si="2"/>
        <v>38522.31</v>
      </c>
      <c r="M24" s="23">
        <f t="shared" si="2"/>
        <v>0</v>
      </c>
      <c r="N24" s="23">
        <f t="shared" si="2"/>
        <v>0</v>
      </c>
      <c r="O24" s="23">
        <f t="shared" si="2"/>
        <v>365488.73000000004</v>
      </c>
    </row>
    <row r="25" spans="2:15" ht="11.25">
      <c r="B25" s="5"/>
      <c r="C25" s="5"/>
      <c r="D25" s="5"/>
      <c r="E25" s="5"/>
      <c r="F25" s="5"/>
      <c r="G25" s="27"/>
      <c r="H25" s="5"/>
      <c r="I25" s="5"/>
      <c r="J25" s="5"/>
      <c r="K25" s="5"/>
      <c r="L25" s="5"/>
      <c r="M25" s="5"/>
      <c r="N25" s="5"/>
      <c r="O25" s="4"/>
    </row>
    <row r="26" spans="2:15" ht="11.25">
      <c r="B26" s="4" t="s">
        <v>17</v>
      </c>
      <c r="C26" s="12">
        <f aca="true" t="shared" si="3" ref="C26:O26">C24/C17</f>
        <v>0.6879924478992774</v>
      </c>
      <c r="D26" s="12">
        <f t="shared" si="3"/>
        <v>1.08515936268021</v>
      </c>
      <c r="E26" s="12">
        <f t="shared" si="3"/>
        <v>0.7211103997192838</v>
      </c>
      <c r="F26" s="12">
        <f t="shared" si="3"/>
        <v>0.9783584131685172</v>
      </c>
      <c r="G26" s="33">
        <f t="shared" si="3"/>
        <v>1.012756870277482</v>
      </c>
      <c r="H26" s="12">
        <f t="shared" si="3"/>
        <v>0.9175053452585297</v>
      </c>
      <c r="I26" s="12">
        <f t="shared" si="3"/>
        <v>0.8644486953379394</v>
      </c>
      <c r="J26" s="12">
        <f t="shared" si="3"/>
        <v>1.3235365513557251</v>
      </c>
      <c r="K26" s="12">
        <f t="shared" si="3"/>
        <v>1.0414768494332651</v>
      </c>
      <c r="L26" s="12">
        <f t="shared" si="3"/>
        <v>0.9689338493292573</v>
      </c>
      <c r="M26" s="12" t="e">
        <f t="shared" si="3"/>
        <v>#DIV/0!</v>
      </c>
      <c r="N26" s="12" t="e">
        <f t="shared" si="3"/>
        <v>#DIV/0!</v>
      </c>
      <c r="O26" s="13">
        <f t="shared" si="3"/>
        <v>0.9531590922171915</v>
      </c>
    </row>
    <row r="27" spans="2:15" ht="11.25">
      <c r="B27" s="4"/>
      <c r="C27" s="12"/>
      <c r="D27" s="12"/>
      <c r="E27" s="12"/>
      <c r="F27" s="12"/>
      <c r="G27" s="33"/>
      <c r="H27" s="12"/>
      <c r="I27" s="12"/>
      <c r="J27" s="12"/>
      <c r="K27" s="12"/>
      <c r="L27" s="12"/>
      <c r="M27" s="12"/>
      <c r="N27" s="12"/>
      <c r="O27" s="14"/>
    </row>
    <row r="28" spans="2:15" ht="11.25">
      <c r="B28" s="4" t="s">
        <v>18</v>
      </c>
      <c r="C28" s="7">
        <f aca="true" t="shared" si="4" ref="C28:O28">C17-C24</f>
        <v>11914.960000000003</v>
      </c>
      <c r="D28" s="7">
        <f t="shared" si="4"/>
        <v>-3252.0699999999997</v>
      </c>
      <c r="E28" s="7">
        <f t="shared" si="4"/>
        <v>10650.250000000004</v>
      </c>
      <c r="F28" s="7">
        <f t="shared" si="4"/>
        <v>826.4500000000044</v>
      </c>
      <c r="G28" s="34">
        <f t="shared" si="4"/>
        <v>-487.1599999999962</v>
      </c>
      <c r="H28" s="7">
        <f t="shared" si="4"/>
        <v>3150.310000000005</v>
      </c>
      <c r="I28" s="7">
        <f t="shared" si="4"/>
        <v>5176.440000000002</v>
      </c>
      <c r="J28" s="7">
        <f t="shared" si="4"/>
        <v>-12355.230000000003</v>
      </c>
      <c r="K28" s="7">
        <f t="shared" si="4"/>
        <v>-1583.9199999999983</v>
      </c>
      <c r="L28" s="7">
        <f t="shared" si="4"/>
        <v>1235.1100000000006</v>
      </c>
      <c r="M28" s="7">
        <f t="shared" si="4"/>
        <v>0</v>
      </c>
      <c r="N28" s="7">
        <f t="shared" si="4"/>
        <v>0</v>
      </c>
      <c r="O28" s="7">
        <f t="shared" si="4"/>
        <v>17961.139999999898</v>
      </c>
    </row>
    <row r="29" spans="2:15" ht="11.25">
      <c r="B29" s="5"/>
      <c r="C29" s="5"/>
      <c r="D29" s="5"/>
      <c r="E29" s="5"/>
      <c r="F29" s="5"/>
      <c r="G29" s="27"/>
      <c r="H29" s="5"/>
      <c r="I29" s="5"/>
      <c r="J29" s="5"/>
      <c r="K29" s="5"/>
      <c r="L29" s="5"/>
      <c r="M29" s="5"/>
      <c r="N29" s="5"/>
      <c r="O29" s="4"/>
    </row>
    <row r="30" spans="2:25" s="17" customFormat="1" ht="11.25">
      <c r="B30" s="15" t="s">
        <v>19</v>
      </c>
      <c r="C30" s="16"/>
      <c r="D30" s="16"/>
      <c r="E30" s="16"/>
      <c r="F30" s="16"/>
      <c r="G30" s="35"/>
      <c r="H30" s="16"/>
      <c r="I30" s="16"/>
      <c r="J30" s="16"/>
      <c r="K30" s="16"/>
      <c r="L30" s="16"/>
      <c r="M30" s="16"/>
      <c r="N30" s="16"/>
      <c r="O30" s="15"/>
      <c r="Y30" s="18"/>
    </row>
    <row r="31" spans="2:25" s="17" customFormat="1" ht="11.25">
      <c r="B31" s="16"/>
      <c r="C31" s="16"/>
      <c r="D31" s="16"/>
      <c r="E31" s="16"/>
      <c r="F31" s="16"/>
      <c r="G31" s="35"/>
      <c r="H31" s="16"/>
      <c r="I31" s="16"/>
      <c r="J31" s="16"/>
      <c r="K31" s="16"/>
      <c r="L31" s="16"/>
      <c r="M31" s="16"/>
      <c r="N31" s="16"/>
      <c r="O31" s="15"/>
      <c r="Y31" s="18"/>
    </row>
    <row r="32" spans="2:25" s="17" customFormat="1" ht="11.25">
      <c r="B32" s="16" t="s">
        <v>20</v>
      </c>
      <c r="C32" s="16">
        <v>111.1</v>
      </c>
      <c r="D32" s="16">
        <v>288.69</v>
      </c>
      <c r="E32" s="16">
        <v>397.39</v>
      </c>
      <c r="F32" s="16">
        <v>402.63</v>
      </c>
      <c r="G32" s="35">
        <v>653.08</v>
      </c>
      <c r="H32" s="16">
        <v>715.1</v>
      </c>
      <c r="I32" s="16">
        <v>437.1</v>
      </c>
      <c r="J32" s="16">
        <v>301.53</v>
      </c>
      <c r="K32" s="16">
        <v>336.53</v>
      </c>
      <c r="L32" s="16">
        <v>833.28</v>
      </c>
      <c r="M32" s="16"/>
      <c r="N32" s="16"/>
      <c r="O32" s="16">
        <f>C32+D32+E32+F32+G32+H32+I32+J32+K32+L32+M32+N32</f>
        <v>4476.429999999999</v>
      </c>
      <c r="Y32" s="18"/>
    </row>
    <row r="33" spans="2:25" s="17" customFormat="1" ht="11.25">
      <c r="B33" s="16" t="s">
        <v>32</v>
      </c>
      <c r="C33" s="16">
        <f>11908.76+291.15</f>
        <v>12199.91</v>
      </c>
      <c r="D33" s="16">
        <f>11617.61+793.72</f>
        <v>12411.33</v>
      </c>
      <c r="E33" s="16">
        <v>11908.76</v>
      </c>
      <c r="F33" s="16">
        <v>11908.76</v>
      </c>
      <c r="G33" s="35">
        <v>11908.76</v>
      </c>
      <c r="H33" s="16">
        <v>11908.76</v>
      </c>
      <c r="I33" s="16">
        <v>11908.76</v>
      </c>
      <c r="J33" s="16">
        <v>11908.76</v>
      </c>
      <c r="K33" s="16">
        <v>11908.76</v>
      </c>
      <c r="L33" s="16">
        <v>11908.76</v>
      </c>
      <c r="M33" s="16"/>
      <c r="N33" s="16"/>
      <c r="O33" s="16">
        <f aca="true" t="shared" si="5" ref="O33:O52">C33+D33+E33+F33+G33+H33+I33+J33+K33+L33+M33+N33</f>
        <v>119881.31999999998</v>
      </c>
      <c r="Y33" s="18"/>
    </row>
    <row r="34" spans="2:25" s="17" customFormat="1" ht="11.25">
      <c r="B34" s="16" t="s">
        <v>26</v>
      </c>
      <c r="C34" s="16">
        <f>2282.71+978.5</f>
        <v>3261.21</v>
      </c>
      <c r="D34" s="16">
        <f>3508.21+1184.52</f>
        <v>4692.73</v>
      </c>
      <c r="E34" s="16">
        <f>3508.21+1184.52</f>
        <v>4692.73</v>
      </c>
      <c r="F34" s="16">
        <f>1535.75+1746.92+1184.52</f>
        <v>4467.1900000000005</v>
      </c>
      <c r="G34" s="35">
        <f>1761.29+3508.21</f>
        <v>5269.5</v>
      </c>
      <c r="H34" s="16">
        <f>3508.21+1184.52</f>
        <v>4692.73</v>
      </c>
      <c r="I34" s="16">
        <f>3508.21+1184.52</f>
        <v>4692.73</v>
      </c>
      <c r="J34" s="16">
        <f>3508.21+1184.52</f>
        <v>4692.73</v>
      </c>
      <c r="K34" s="16">
        <f>3508.21+1184.52</f>
        <v>4692.73</v>
      </c>
      <c r="L34" s="16">
        <f>3508.21+1184.52</f>
        <v>4692.73</v>
      </c>
      <c r="M34" s="16"/>
      <c r="N34" s="16"/>
      <c r="O34" s="16">
        <f t="shared" si="5"/>
        <v>45847.009999999995</v>
      </c>
      <c r="Y34" s="18"/>
    </row>
    <row r="35" spans="2:25" s="17" customFormat="1" ht="11.25">
      <c r="B35" s="16" t="s">
        <v>27</v>
      </c>
      <c r="C35" s="16">
        <f>875.15+5611.95</f>
        <v>6487.099999999999</v>
      </c>
      <c r="D35" s="16">
        <f>582.31+5611.95</f>
        <v>6194.26</v>
      </c>
      <c r="E35" s="16">
        <v>5611.95</v>
      </c>
      <c r="F35" s="16">
        <v>1746.92</v>
      </c>
      <c r="G35" s="35">
        <f>3865.03+2911.54+1184.52</f>
        <v>7961.09</v>
      </c>
      <c r="H35" s="16">
        <f>2700.41+2911.54</f>
        <v>5611.95</v>
      </c>
      <c r="I35" s="16">
        <f>2700.41+2911.54</f>
        <v>5611.95</v>
      </c>
      <c r="J35" s="16">
        <f>6243.86+141.33</f>
        <v>6385.19</v>
      </c>
      <c r="K35" s="16">
        <f>6243.86+141.33</f>
        <v>6385.19</v>
      </c>
      <c r="L35" s="16">
        <f>6243.86+141.33+2700.41</f>
        <v>9085.599999999999</v>
      </c>
      <c r="M35" s="16"/>
      <c r="N35" s="16"/>
      <c r="O35" s="16">
        <f t="shared" si="5"/>
        <v>61081.200000000004</v>
      </c>
      <c r="Y35" s="18"/>
    </row>
    <row r="36" spans="2:25" s="17" customFormat="1" ht="11.25">
      <c r="B36" s="16" t="s">
        <v>23</v>
      </c>
      <c r="C36" s="16">
        <v>384.38</v>
      </c>
      <c r="D36" s="16">
        <v>1058.82</v>
      </c>
      <c r="E36" s="16">
        <v>5572.66</v>
      </c>
      <c r="F36" s="16">
        <v>1720.14</v>
      </c>
      <c r="G36" s="35">
        <v>1056.75</v>
      </c>
      <c r="H36" s="16">
        <v>653.51</v>
      </c>
      <c r="I36" s="16">
        <v>1500</v>
      </c>
      <c r="J36" s="16"/>
      <c r="K36" s="16"/>
      <c r="L36" s="16"/>
      <c r="M36" s="16"/>
      <c r="N36" s="16"/>
      <c r="O36" s="16">
        <f t="shared" si="5"/>
        <v>11946.26</v>
      </c>
      <c r="Y36" s="18"/>
    </row>
    <row r="37" spans="2:25" s="17" customFormat="1" ht="11.25">
      <c r="B37" s="19" t="s">
        <v>28</v>
      </c>
      <c r="C37" s="16">
        <v>33.74</v>
      </c>
      <c r="D37" s="16">
        <v>33.74</v>
      </c>
      <c r="E37" s="16">
        <v>33.74</v>
      </c>
      <c r="F37" s="16">
        <v>33.74</v>
      </c>
      <c r="G37" s="35"/>
      <c r="H37" s="16"/>
      <c r="I37" s="16">
        <v>33.74</v>
      </c>
      <c r="J37" s="16">
        <v>33.74</v>
      </c>
      <c r="K37" s="16">
        <v>33.74</v>
      </c>
      <c r="L37" s="16">
        <v>33.74</v>
      </c>
      <c r="M37" s="16"/>
      <c r="N37" s="16"/>
      <c r="O37" s="16">
        <f t="shared" si="5"/>
        <v>269.92</v>
      </c>
      <c r="Y37" s="18"/>
    </row>
    <row r="38" spans="2:25" s="17" customFormat="1" ht="11.25">
      <c r="B38" s="16" t="s">
        <v>29</v>
      </c>
      <c r="C38" s="16">
        <v>3900</v>
      </c>
      <c r="D38" s="16">
        <v>3900</v>
      </c>
      <c r="E38" s="16">
        <v>3900</v>
      </c>
      <c r="F38" s="16">
        <v>1950</v>
      </c>
      <c r="G38" s="35">
        <f>1950+1950</f>
        <v>3900</v>
      </c>
      <c r="H38" s="16">
        <f>1950+1950</f>
        <v>3900</v>
      </c>
      <c r="I38" s="16">
        <f>1950+1950</f>
        <v>3900</v>
      </c>
      <c r="J38" s="16">
        <v>1950</v>
      </c>
      <c r="K38" s="16"/>
      <c r="L38" s="16"/>
      <c r="M38" s="16"/>
      <c r="N38" s="16"/>
      <c r="O38" s="16">
        <f t="shared" si="5"/>
        <v>27300</v>
      </c>
      <c r="Y38" s="18"/>
    </row>
    <row r="39" spans="2:25" s="17" customFormat="1" ht="11.25">
      <c r="B39" s="16" t="s">
        <v>25</v>
      </c>
      <c r="C39" s="16">
        <v>1350</v>
      </c>
      <c r="D39" s="16">
        <v>1350</v>
      </c>
      <c r="E39" s="16"/>
      <c r="F39" s="16">
        <f>1350+1350</f>
        <v>2700</v>
      </c>
      <c r="G39" s="35">
        <v>1350</v>
      </c>
      <c r="H39" s="16">
        <v>1350</v>
      </c>
      <c r="I39" s="16">
        <v>1350</v>
      </c>
      <c r="J39" s="16"/>
      <c r="K39" s="16"/>
      <c r="L39" s="16">
        <v>2700</v>
      </c>
      <c r="M39" s="16"/>
      <c r="N39" s="16"/>
      <c r="O39" s="16">
        <f t="shared" si="5"/>
        <v>12150</v>
      </c>
      <c r="Y39" s="18"/>
    </row>
    <row r="40" spans="2:25" s="17" customFormat="1" ht="11.25">
      <c r="B40" s="16" t="s">
        <v>31</v>
      </c>
      <c r="C40" s="16">
        <f>1843.65+233.46</f>
        <v>2077.11</v>
      </c>
      <c r="D40" s="16">
        <f>1283.39+793.72</f>
        <v>2077.11</v>
      </c>
      <c r="E40" s="16"/>
      <c r="F40" s="16">
        <f>1460.47+616.64</f>
        <v>2077.11</v>
      </c>
      <c r="G40" s="35">
        <f>1462.52+614.59</f>
        <v>2077.11</v>
      </c>
      <c r="H40" s="16"/>
      <c r="I40" s="16">
        <f>1433.48+1380.85+643.63+696.26</f>
        <v>4154.22</v>
      </c>
      <c r="J40" s="16">
        <f>1533.63+543.48</f>
        <v>2077.11</v>
      </c>
      <c r="K40" s="16">
        <f>1605.24+471.87</f>
        <v>2077.11</v>
      </c>
      <c r="L40" s="16">
        <v>2077.11</v>
      </c>
      <c r="M40" s="16"/>
      <c r="N40" s="16"/>
      <c r="O40" s="16">
        <f t="shared" si="5"/>
        <v>18693.99</v>
      </c>
      <c r="Y40" s="18"/>
    </row>
    <row r="41" spans="2:25" s="17" customFormat="1" ht="11.25">
      <c r="B41" s="16" t="s">
        <v>30</v>
      </c>
      <c r="C41" s="16">
        <v>538.51</v>
      </c>
      <c r="D41" s="16">
        <v>538.51</v>
      </c>
      <c r="E41" s="16">
        <v>538.51</v>
      </c>
      <c r="F41" s="16">
        <v>538.51</v>
      </c>
      <c r="G41" s="35">
        <v>538.51</v>
      </c>
      <c r="H41" s="16">
        <v>538.51</v>
      </c>
      <c r="I41" s="16">
        <v>538.51</v>
      </c>
      <c r="J41" s="16">
        <v>538.51</v>
      </c>
      <c r="K41" s="16">
        <v>538.51</v>
      </c>
      <c r="L41" s="16">
        <v>538.51</v>
      </c>
      <c r="M41" s="16"/>
      <c r="N41" s="16"/>
      <c r="O41" s="16">
        <f t="shared" si="5"/>
        <v>5385.100000000001</v>
      </c>
      <c r="Y41" s="18"/>
    </row>
    <row r="42" spans="2:25" s="17" customFormat="1" ht="11.25">
      <c r="B42" s="16" t="s">
        <v>24</v>
      </c>
      <c r="C42" s="16">
        <v>102.36</v>
      </c>
      <c r="D42" s="16">
        <v>352.48</v>
      </c>
      <c r="E42" s="16">
        <v>117.65</v>
      </c>
      <c r="F42" s="16">
        <v>401.97</v>
      </c>
      <c r="G42" s="35"/>
      <c r="H42" s="16">
        <v>201.65</v>
      </c>
      <c r="I42" s="16">
        <f>466.28-58.28</f>
        <v>408</v>
      </c>
      <c r="J42" s="16">
        <v>374.82</v>
      </c>
      <c r="K42" s="16">
        <v>202.82</v>
      </c>
      <c r="L42" s="16">
        <v>479.09</v>
      </c>
      <c r="M42" s="16"/>
      <c r="N42" s="16"/>
      <c r="O42" s="16">
        <f t="shared" si="5"/>
        <v>2640.84</v>
      </c>
      <c r="Y42" s="18"/>
    </row>
    <row r="43" spans="2:25" s="17" customFormat="1" ht="11.25">
      <c r="B43" s="16" t="s">
        <v>34</v>
      </c>
      <c r="C43" s="16">
        <v>1500</v>
      </c>
      <c r="D43" s="16">
        <v>1500</v>
      </c>
      <c r="E43" s="16">
        <v>1500</v>
      </c>
      <c r="F43" s="16">
        <v>1000</v>
      </c>
      <c r="G43" s="35">
        <v>1500</v>
      </c>
      <c r="H43" s="16">
        <v>1500</v>
      </c>
      <c r="I43" s="16">
        <v>1500</v>
      </c>
      <c r="J43" s="16">
        <v>1500</v>
      </c>
      <c r="K43" s="16">
        <v>1500</v>
      </c>
      <c r="L43" s="16">
        <v>1500</v>
      </c>
      <c r="M43" s="16"/>
      <c r="N43" s="16"/>
      <c r="O43" s="16">
        <f t="shared" si="5"/>
        <v>14500</v>
      </c>
      <c r="Y43" s="18"/>
    </row>
    <row r="44" spans="2:25" s="17" customFormat="1" ht="11.25">
      <c r="B44" s="16" t="s">
        <v>35</v>
      </c>
      <c r="C44" s="16"/>
      <c r="D44" s="16"/>
      <c r="E44" s="16"/>
      <c r="F44" s="16"/>
      <c r="G44" s="35"/>
      <c r="H44" s="16">
        <f>669.14+440.45</f>
        <v>1109.59</v>
      </c>
      <c r="I44" s="16">
        <f>669.14+58.28</f>
        <v>727.42</v>
      </c>
      <c r="J44" s="16">
        <f>669.14+75.21+16.43</f>
        <v>760.78</v>
      </c>
      <c r="K44" s="16"/>
      <c r="L44" s="16"/>
      <c r="M44" s="16"/>
      <c r="N44" s="16"/>
      <c r="O44" s="16">
        <f t="shared" si="5"/>
        <v>2597.79</v>
      </c>
      <c r="Y44" s="18"/>
    </row>
    <row r="45" spans="2:25" s="17" customFormat="1" ht="11.25">
      <c r="B45" s="16" t="s">
        <v>36</v>
      </c>
      <c r="C45" s="16"/>
      <c r="D45" s="16"/>
      <c r="E45" s="16">
        <v>11646.15</v>
      </c>
      <c r="F45" s="16"/>
      <c r="G45" s="35"/>
      <c r="H45" s="16">
        <v>23.88</v>
      </c>
      <c r="I45" s="16"/>
      <c r="J45" s="16"/>
      <c r="K45" s="16"/>
      <c r="L45" s="16"/>
      <c r="M45" s="16"/>
      <c r="N45" s="16"/>
      <c r="O45" s="16">
        <f t="shared" si="5"/>
        <v>11670.029999999999</v>
      </c>
      <c r="Y45" s="18"/>
    </row>
    <row r="46" spans="2:25" s="17" customFormat="1" ht="11.25">
      <c r="B46" s="16"/>
      <c r="C46" s="16"/>
      <c r="D46" s="16"/>
      <c r="E46" s="16"/>
      <c r="F46" s="16"/>
      <c r="G46" s="35"/>
      <c r="H46" s="16"/>
      <c r="I46" s="16"/>
      <c r="J46" s="16"/>
      <c r="K46" s="16"/>
      <c r="L46" s="16"/>
      <c r="M46" s="16"/>
      <c r="N46" s="16"/>
      <c r="O46" s="16"/>
      <c r="Y46" s="18"/>
    </row>
    <row r="47" spans="2:25" s="17" customFormat="1" ht="11.25">
      <c r="B47" s="41" t="s">
        <v>107</v>
      </c>
      <c r="C47" s="16"/>
      <c r="D47" s="16"/>
      <c r="E47" s="16"/>
      <c r="F47" s="16"/>
      <c r="G47" s="35"/>
      <c r="H47" s="16"/>
      <c r="I47" s="16"/>
      <c r="J47" s="16"/>
      <c r="K47" s="16"/>
      <c r="L47" s="16"/>
      <c r="M47" s="16"/>
      <c r="N47" s="16"/>
      <c r="O47" s="16">
        <v>4629.8</v>
      </c>
      <c r="Y47" s="18"/>
    </row>
    <row r="48" spans="2:25" s="17" customFormat="1" ht="11.25">
      <c r="B48" s="16" t="s">
        <v>58</v>
      </c>
      <c r="C48" s="16"/>
      <c r="D48" s="16"/>
      <c r="E48" s="16"/>
      <c r="F48" s="16">
        <v>3800</v>
      </c>
      <c r="G48" s="35"/>
      <c r="H48" s="16"/>
      <c r="I48" s="16"/>
      <c r="J48" s="16"/>
      <c r="K48" s="16"/>
      <c r="L48" s="16"/>
      <c r="M48" s="16"/>
      <c r="N48" s="16"/>
      <c r="O48" s="16">
        <f t="shared" si="5"/>
        <v>3800</v>
      </c>
      <c r="Y48" s="18"/>
    </row>
    <row r="49" spans="2:25" s="17" customFormat="1" ht="11.25">
      <c r="B49" s="16" t="s">
        <v>70</v>
      </c>
      <c r="C49" s="16"/>
      <c r="D49" s="16"/>
      <c r="E49" s="16"/>
      <c r="F49" s="16"/>
      <c r="G49" s="35"/>
      <c r="H49" s="16"/>
      <c r="I49" s="16"/>
      <c r="J49" s="16">
        <v>1339.31</v>
      </c>
      <c r="K49" s="16"/>
      <c r="L49" s="16"/>
      <c r="M49" s="16"/>
      <c r="N49" s="16"/>
      <c r="O49" s="16">
        <f t="shared" si="5"/>
        <v>1339.31</v>
      </c>
      <c r="Y49" s="18"/>
    </row>
    <row r="50" spans="2:25" s="17" customFormat="1" ht="11.25">
      <c r="B50" s="19" t="s">
        <v>98</v>
      </c>
      <c r="C50" s="16"/>
      <c r="D50" s="16"/>
      <c r="E50" s="16"/>
      <c r="F50" s="16"/>
      <c r="G50" s="35"/>
      <c r="H50" s="16"/>
      <c r="I50" s="16"/>
      <c r="J50" s="16"/>
      <c r="K50" s="16"/>
      <c r="L50" s="16">
        <v>1500</v>
      </c>
      <c r="M50" s="16"/>
      <c r="N50" s="16"/>
      <c r="O50" s="16">
        <f t="shared" si="5"/>
        <v>1500</v>
      </c>
      <c r="Y50" s="18"/>
    </row>
    <row r="51" spans="2:25" s="17" customFormat="1" ht="11.25">
      <c r="B51" s="16"/>
      <c r="C51" s="16"/>
      <c r="D51" s="16"/>
      <c r="E51" s="16"/>
      <c r="F51" s="16"/>
      <c r="G51" s="35"/>
      <c r="H51" s="16"/>
      <c r="I51" s="16"/>
      <c r="J51" s="16"/>
      <c r="K51" s="16"/>
      <c r="L51" s="16"/>
      <c r="M51" s="16"/>
      <c r="N51" s="16"/>
      <c r="O51" s="16">
        <f t="shared" si="5"/>
        <v>0</v>
      </c>
      <c r="Y51" s="18"/>
    </row>
    <row r="52" spans="2:25" s="17" customFormat="1" ht="11.25">
      <c r="B52" s="16"/>
      <c r="C52" s="16"/>
      <c r="D52" s="16"/>
      <c r="E52" s="16"/>
      <c r="F52" s="16"/>
      <c r="G52" s="35"/>
      <c r="H52" s="16"/>
      <c r="I52" s="16"/>
      <c r="J52" s="16"/>
      <c r="K52" s="16"/>
      <c r="L52" s="16"/>
      <c r="M52" s="16"/>
      <c r="N52" s="16"/>
      <c r="O52" s="16">
        <f t="shared" si="5"/>
        <v>0</v>
      </c>
      <c r="Y52" s="18"/>
    </row>
    <row r="53" spans="2:25" s="17" customFormat="1" ht="11.25">
      <c r="B53" s="15" t="s">
        <v>14</v>
      </c>
      <c r="C53" s="15">
        <f aca="true" t="shared" si="6" ref="C53:O53">SUM(C32:C52)</f>
        <v>31945.420000000002</v>
      </c>
      <c r="D53" s="15">
        <f t="shared" si="6"/>
        <v>34397.670000000006</v>
      </c>
      <c r="E53" s="15">
        <f t="shared" si="6"/>
        <v>45919.54</v>
      </c>
      <c r="F53" s="15">
        <f t="shared" si="6"/>
        <v>32746.97</v>
      </c>
      <c r="G53" s="36">
        <f t="shared" si="6"/>
        <v>36214.8</v>
      </c>
      <c r="H53" s="15">
        <f t="shared" si="6"/>
        <v>32205.68</v>
      </c>
      <c r="I53" s="15">
        <f t="shared" si="6"/>
        <v>36762.43</v>
      </c>
      <c r="J53" s="15">
        <f t="shared" si="6"/>
        <v>31862.48</v>
      </c>
      <c r="K53" s="15">
        <f t="shared" si="6"/>
        <v>27675.39</v>
      </c>
      <c r="L53" s="15">
        <f t="shared" si="6"/>
        <v>35348.82</v>
      </c>
      <c r="M53" s="15">
        <f t="shared" si="6"/>
        <v>0</v>
      </c>
      <c r="N53" s="15">
        <f t="shared" si="6"/>
        <v>0</v>
      </c>
      <c r="O53" s="15">
        <f t="shared" si="6"/>
        <v>349709</v>
      </c>
      <c r="Y53" s="18"/>
    </row>
    <row r="54" ht="11.25">
      <c r="G54" s="37"/>
    </row>
    <row r="55" spans="2:15" ht="11.25">
      <c r="B55" s="20" t="s">
        <v>109</v>
      </c>
      <c r="C55" s="21">
        <f aca="true" t="shared" si="7" ref="C55:O55">C9+C24-C53</f>
        <v>-16385.99</v>
      </c>
      <c r="D55" s="21">
        <f t="shared" si="7"/>
        <v>-9343.540000000005</v>
      </c>
      <c r="E55" s="21">
        <f t="shared" si="7"/>
        <v>-27725.280000000006</v>
      </c>
      <c r="F55" s="21">
        <f t="shared" si="7"/>
        <v>-23110.65000000001</v>
      </c>
      <c r="G55" s="38">
        <f t="shared" si="7"/>
        <v>-20650.240000000013</v>
      </c>
      <c r="H55" s="21">
        <f t="shared" si="7"/>
        <v>-17818.180000000015</v>
      </c>
      <c r="I55" s="21">
        <f t="shared" si="7"/>
        <v>-21569.000000000015</v>
      </c>
      <c r="J55" s="21">
        <f t="shared" si="7"/>
        <v>-2888.200000000008</v>
      </c>
      <c r="K55" s="21">
        <f t="shared" si="7"/>
        <v>9208.37999999999</v>
      </c>
      <c r="L55" s="38">
        <f t="shared" si="7"/>
        <v>12381.869999999988</v>
      </c>
      <c r="M55" s="21">
        <f t="shared" si="7"/>
        <v>12381.869999999988</v>
      </c>
      <c r="N55" s="21">
        <f t="shared" si="7"/>
        <v>12381.869999999988</v>
      </c>
      <c r="O55" s="42">
        <f t="shared" si="7"/>
        <v>5066.070000000065</v>
      </c>
    </row>
    <row r="56" spans="2:15" s="3" customFormat="1" ht="11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ht="11.25">
      <c r="B57" s="2" t="s">
        <v>21</v>
      </c>
    </row>
    <row r="58" ht="11.25">
      <c r="B58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Y63"/>
  <sheetViews>
    <sheetView zoomScale="90" zoomScaleNormal="90" zoomScalePageLayoutView="0" workbookViewId="0" topLeftCell="A1">
      <pane xSplit="2" ySplit="5" topLeftCell="H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43" sqref="Q43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8.62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0.37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1.25">
      <c r="B1" s="43" t="s">
        <v>105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"/>
    </row>
    <row r="2" spans="2:16" ht="11.25">
      <c r="B2" s="46" t="s">
        <v>104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</row>
    <row r="3" spans="2:15" ht="11.25">
      <c r="B3" s="46" t="s">
        <v>106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1.25">
      <c r="B4" s="46" t="s">
        <v>124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6" spans="2:15" ht="11.25">
      <c r="B6" s="5"/>
      <c r="C6" s="5"/>
      <c r="D6" s="5"/>
      <c r="E6" s="5"/>
      <c r="F6" s="5"/>
      <c r="G6" s="27"/>
      <c r="H6" s="5"/>
      <c r="I6" s="5"/>
      <c r="J6" s="5"/>
      <c r="K6" s="5"/>
      <c r="L6" s="5"/>
      <c r="M6" s="5"/>
      <c r="N6" s="5"/>
      <c r="O6" s="4"/>
    </row>
    <row r="7" spans="2:15" ht="11.25">
      <c r="B7" s="4" t="s">
        <v>39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1.25">
      <c r="B8" s="5" t="s">
        <v>13</v>
      </c>
      <c r="C8" s="5">
        <v>-11012.81</v>
      </c>
      <c r="D8" s="5"/>
      <c r="E8" s="5"/>
      <c r="F8" s="5"/>
      <c r="G8" s="27"/>
      <c r="H8" s="5"/>
      <c r="I8" s="5"/>
      <c r="J8" s="5"/>
      <c r="K8" s="5"/>
      <c r="L8" s="5"/>
      <c r="M8" s="5"/>
      <c r="N8" s="5"/>
      <c r="O8" s="5">
        <f>C8+D8+E8+F8+G8+H8+I8+J8+K8+L8+M8+N8</f>
        <v>-11012.81</v>
      </c>
    </row>
    <row r="9" spans="2:15" s="3" customFormat="1" ht="11.25">
      <c r="B9" s="4" t="s">
        <v>14</v>
      </c>
      <c r="C9" s="4">
        <f>C8</f>
        <v>-11012.81</v>
      </c>
      <c r="D9" s="4">
        <f aca="true" t="shared" si="0" ref="D9:I9">C60</f>
        <v>2098.560000000005</v>
      </c>
      <c r="E9" s="4">
        <f t="shared" si="0"/>
        <v>14974.030000000028</v>
      </c>
      <c r="F9" s="4">
        <f t="shared" si="0"/>
        <v>5652.220000000045</v>
      </c>
      <c r="G9" s="28">
        <f t="shared" si="0"/>
        <v>34773.230000000025</v>
      </c>
      <c r="H9" s="4">
        <f t="shared" si="0"/>
        <v>57410.13000000002</v>
      </c>
      <c r="I9" s="4">
        <f t="shared" si="0"/>
        <v>67634.51000000001</v>
      </c>
      <c r="J9" s="4">
        <f>I60</f>
        <v>96371.42000000001</v>
      </c>
      <c r="K9" s="4">
        <f>J60</f>
        <v>102434.65000000005</v>
      </c>
      <c r="L9" s="4">
        <f>K60</f>
        <v>148964.61000000004</v>
      </c>
      <c r="M9" s="4">
        <f>L60</f>
        <v>165335.51000000004</v>
      </c>
      <c r="N9" s="4">
        <f>M60</f>
        <v>165335.51000000004</v>
      </c>
      <c r="O9" s="4">
        <f>O8</f>
        <v>-11012.81</v>
      </c>
    </row>
    <row r="10" spans="2:15" ht="11.25">
      <c r="B10" s="5"/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1.25">
      <c r="B11" s="5"/>
      <c r="C11" s="5"/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4"/>
    </row>
    <row r="12" spans="2:25" s="10" customFormat="1" ht="11.25">
      <c r="B12" s="8" t="s">
        <v>15</v>
      </c>
      <c r="C12" s="9"/>
      <c r="D12" s="9"/>
      <c r="E12" s="9"/>
      <c r="F12" s="9"/>
      <c r="G12" s="29"/>
      <c r="H12" s="9"/>
      <c r="I12" s="9"/>
      <c r="J12" s="9"/>
      <c r="K12" s="9"/>
      <c r="L12" s="9"/>
      <c r="M12" s="9"/>
      <c r="N12" s="9"/>
      <c r="O12" s="8"/>
      <c r="Y12" s="11"/>
    </row>
    <row r="13" spans="2:25" s="10" customFormat="1" ht="11.25">
      <c r="B13" s="9" t="s">
        <v>13</v>
      </c>
      <c r="C13" s="9">
        <v>91321.84</v>
      </c>
      <c r="D13" s="9">
        <v>91321.84</v>
      </c>
      <c r="E13" s="9">
        <v>91321.84</v>
      </c>
      <c r="F13" s="9">
        <v>91321.84</v>
      </c>
      <c r="G13" s="9">
        <v>91321.84</v>
      </c>
      <c r="H13" s="9">
        <v>91321.84</v>
      </c>
      <c r="I13" s="9">
        <v>94002.84</v>
      </c>
      <c r="J13" s="9">
        <v>94002.84</v>
      </c>
      <c r="K13" s="9">
        <v>94002.84</v>
      </c>
      <c r="L13" s="9">
        <v>90618.08</v>
      </c>
      <c r="M13" s="9"/>
      <c r="N13" s="9"/>
      <c r="O13" s="9">
        <f>C13+D13+E13+F13+G13+H13+I13+J13+K13+L13+M13+N13</f>
        <v>920557.6399999998</v>
      </c>
      <c r="Y13" s="11"/>
    </row>
    <row r="14" spans="2:25" s="10" customFormat="1" ht="11.25">
      <c r="B14" s="9" t="s">
        <v>33</v>
      </c>
      <c r="C14" s="9"/>
      <c r="D14" s="9"/>
      <c r="E14" s="9"/>
      <c r="F14" s="9"/>
      <c r="G14" s="29"/>
      <c r="H14" s="9"/>
      <c r="I14" s="9"/>
      <c r="J14" s="9"/>
      <c r="K14" s="9"/>
      <c r="L14" s="9">
        <v>4993.38</v>
      </c>
      <c r="M14" s="9"/>
      <c r="N14" s="9"/>
      <c r="O14" s="9">
        <f>C14+D14+E14+F14+G14+H14+I14+J14+K14+L14+M14+N14</f>
        <v>4993.38</v>
      </c>
      <c r="Y14" s="11"/>
    </row>
    <row r="15" spans="2:25" s="10" customFormat="1" ht="11.25">
      <c r="B15" s="16" t="s">
        <v>25</v>
      </c>
      <c r="C15" s="9"/>
      <c r="D15" s="9"/>
      <c r="E15" s="9"/>
      <c r="F15" s="9"/>
      <c r="G15" s="29"/>
      <c r="H15" s="9"/>
      <c r="I15" s="9"/>
      <c r="J15" s="9"/>
      <c r="K15" s="9"/>
      <c r="L15" s="9"/>
      <c r="M15" s="9"/>
      <c r="N15" s="9"/>
      <c r="O15" s="9">
        <f>C15+D15+E15+F15+G15+H15+I15+J15+K15+L15+M15+N15</f>
        <v>0</v>
      </c>
      <c r="Y15" s="11"/>
    </row>
    <row r="16" spans="2:25" s="10" customFormat="1" ht="11.25">
      <c r="B16" s="16"/>
      <c r="C16" s="9"/>
      <c r="D16" s="9"/>
      <c r="E16" s="9"/>
      <c r="F16" s="9"/>
      <c r="G16" s="29"/>
      <c r="H16" s="9"/>
      <c r="I16" s="9"/>
      <c r="J16" s="9"/>
      <c r="K16" s="9"/>
      <c r="L16" s="9"/>
      <c r="M16" s="9"/>
      <c r="N16" s="9"/>
      <c r="O16" s="9"/>
      <c r="Y16" s="11"/>
    </row>
    <row r="17" spans="2:15" s="11" customFormat="1" ht="11.25">
      <c r="B17" s="8" t="s">
        <v>14</v>
      </c>
      <c r="C17" s="8">
        <f aca="true" t="shared" si="1" ref="C17:N17">SUM(C11:C15)</f>
        <v>91321.84</v>
      </c>
      <c r="D17" s="8">
        <f t="shared" si="1"/>
        <v>91321.84</v>
      </c>
      <c r="E17" s="8">
        <f t="shared" si="1"/>
        <v>91321.84</v>
      </c>
      <c r="F17" s="8">
        <f t="shared" si="1"/>
        <v>91321.84</v>
      </c>
      <c r="G17" s="30">
        <f t="shared" si="1"/>
        <v>91321.84</v>
      </c>
      <c r="H17" s="8">
        <f t="shared" si="1"/>
        <v>91321.84</v>
      </c>
      <c r="I17" s="8">
        <f t="shared" si="1"/>
        <v>94002.84</v>
      </c>
      <c r="J17" s="8">
        <f t="shared" si="1"/>
        <v>94002.84</v>
      </c>
      <c r="K17" s="8">
        <f t="shared" si="1"/>
        <v>94002.84</v>
      </c>
      <c r="L17" s="8">
        <f t="shared" si="1"/>
        <v>95611.46</v>
      </c>
      <c r="M17" s="8">
        <f t="shared" si="1"/>
        <v>0</v>
      </c>
      <c r="N17" s="8">
        <f t="shared" si="1"/>
        <v>0</v>
      </c>
      <c r="O17" s="8">
        <f>C17+D17+E17+F17+G17+H17+I17+J17+K17+L17+M17+N17</f>
        <v>925551.0199999998</v>
      </c>
    </row>
    <row r="18" spans="2:15" ht="11.25">
      <c r="B18" s="5"/>
      <c r="C18" s="5"/>
      <c r="D18" s="5"/>
      <c r="E18" s="5"/>
      <c r="F18" s="5"/>
      <c r="G18" s="27"/>
      <c r="H18" s="5"/>
      <c r="I18" s="5"/>
      <c r="J18" s="5"/>
      <c r="K18" s="5"/>
      <c r="L18" s="5"/>
      <c r="M18" s="5"/>
      <c r="N18" s="5"/>
      <c r="O18" s="4"/>
    </row>
    <row r="19" spans="2:25" s="25" customFormat="1" ht="11.25">
      <c r="B19" s="23" t="s">
        <v>16</v>
      </c>
      <c r="C19" s="24"/>
      <c r="D19" s="24"/>
      <c r="E19" s="24"/>
      <c r="F19" s="24"/>
      <c r="G19" s="31"/>
      <c r="H19" s="24"/>
      <c r="I19" s="24"/>
      <c r="J19" s="24"/>
      <c r="K19" s="24"/>
      <c r="L19" s="24"/>
      <c r="M19" s="24"/>
      <c r="N19" s="24"/>
      <c r="O19" s="23"/>
      <c r="Y19" s="26"/>
    </row>
    <row r="20" spans="2:25" s="25" customFormat="1" ht="11.25">
      <c r="B20" s="24" t="s">
        <v>13</v>
      </c>
      <c r="C20" s="24">
        <v>67334.52</v>
      </c>
      <c r="D20" s="24">
        <v>86748.77</v>
      </c>
      <c r="E20" s="24">
        <v>86328.99</v>
      </c>
      <c r="F20" s="24">
        <v>86900.31</v>
      </c>
      <c r="G20" s="31">
        <v>94545.43</v>
      </c>
      <c r="H20" s="24">
        <v>94826.14</v>
      </c>
      <c r="I20" s="24">
        <v>104336.2</v>
      </c>
      <c r="J20" s="24">
        <f>76229.44+153.49</f>
        <v>76382.93000000001</v>
      </c>
      <c r="K20" s="24">
        <f>105214.73-306.98</f>
        <v>104907.75</v>
      </c>
      <c r="L20" s="24">
        <v>89463.54</v>
      </c>
      <c r="M20" s="24"/>
      <c r="N20" s="24"/>
      <c r="O20" s="24">
        <f>C20+D20+E20+F20+G20+H20+I20+J20+K20+L20+M20+N20-5849.24</f>
        <v>885925.3400000001</v>
      </c>
      <c r="Y20" s="26"/>
    </row>
    <row r="21" spans="2:25" s="25" customFormat="1" ht="11.25">
      <c r="B21" s="9" t="s">
        <v>33</v>
      </c>
      <c r="C21" s="24"/>
      <c r="D21" s="24"/>
      <c r="E21" s="24"/>
      <c r="F21" s="24"/>
      <c r="G21" s="31"/>
      <c r="H21" s="24"/>
      <c r="I21" s="24"/>
      <c r="J21" s="24"/>
      <c r="K21" s="24"/>
      <c r="L21" s="24"/>
      <c r="M21" s="24"/>
      <c r="N21" s="24"/>
      <c r="O21" s="24">
        <f>C21+D21+E21+F21+G21+H21+I21+J21+K21+L21+M21+N21</f>
        <v>0</v>
      </c>
      <c r="Y21" s="26"/>
    </row>
    <row r="22" spans="2:25" s="25" customFormat="1" ht="11.25">
      <c r="B22" s="16" t="s">
        <v>25</v>
      </c>
      <c r="C22" s="24"/>
      <c r="D22" s="24"/>
      <c r="E22" s="24"/>
      <c r="F22" s="24"/>
      <c r="G22" s="31"/>
      <c r="H22" s="24"/>
      <c r="I22" s="24"/>
      <c r="J22" s="24"/>
      <c r="K22" s="24"/>
      <c r="L22" s="24"/>
      <c r="M22" s="24"/>
      <c r="N22" s="24"/>
      <c r="O22" s="24">
        <f>C22+D22+E22+F22+G22+H22+I22+J22+K22+L22+M22+N22</f>
        <v>0</v>
      </c>
      <c r="Y22" s="26"/>
    </row>
    <row r="23" spans="2:25" s="25" customFormat="1" ht="11.25">
      <c r="B23" s="16"/>
      <c r="C23" s="24"/>
      <c r="D23" s="24"/>
      <c r="E23" s="24"/>
      <c r="F23" s="24"/>
      <c r="G23" s="31"/>
      <c r="H23" s="24"/>
      <c r="I23" s="24"/>
      <c r="J23" s="24"/>
      <c r="K23" s="24"/>
      <c r="L23" s="24"/>
      <c r="M23" s="24"/>
      <c r="N23" s="24"/>
      <c r="O23" s="24"/>
      <c r="Y23" s="26"/>
    </row>
    <row r="24" spans="2:15" s="26" customFormat="1" ht="11.25">
      <c r="B24" s="23" t="s">
        <v>14</v>
      </c>
      <c r="C24" s="23">
        <f aca="true" t="shared" si="2" ref="C24:O24">SUM(C20:C23)</f>
        <v>67334.52</v>
      </c>
      <c r="D24" s="23">
        <f t="shared" si="2"/>
        <v>86748.77</v>
      </c>
      <c r="E24" s="23">
        <f t="shared" si="2"/>
        <v>86328.99</v>
      </c>
      <c r="F24" s="23">
        <f t="shared" si="2"/>
        <v>86900.31</v>
      </c>
      <c r="G24" s="32">
        <f t="shared" si="2"/>
        <v>94545.43</v>
      </c>
      <c r="H24" s="23">
        <f t="shared" si="2"/>
        <v>94826.14</v>
      </c>
      <c r="I24" s="23">
        <f t="shared" si="2"/>
        <v>104336.2</v>
      </c>
      <c r="J24" s="23">
        <f t="shared" si="2"/>
        <v>76382.93000000001</v>
      </c>
      <c r="K24" s="23">
        <f t="shared" si="2"/>
        <v>104907.75</v>
      </c>
      <c r="L24" s="23">
        <f t="shared" si="2"/>
        <v>89463.54</v>
      </c>
      <c r="M24" s="23">
        <f t="shared" si="2"/>
        <v>0</v>
      </c>
      <c r="N24" s="23">
        <f t="shared" si="2"/>
        <v>0</v>
      </c>
      <c r="O24" s="23">
        <f t="shared" si="2"/>
        <v>885925.3400000001</v>
      </c>
    </row>
    <row r="25" spans="2:15" ht="11.25">
      <c r="B25" s="5"/>
      <c r="C25" s="5"/>
      <c r="D25" s="5"/>
      <c r="E25" s="5"/>
      <c r="F25" s="5"/>
      <c r="G25" s="27"/>
      <c r="H25" s="5"/>
      <c r="I25" s="5"/>
      <c r="J25" s="5"/>
      <c r="K25" s="5"/>
      <c r="L25" s="5"/>
      <c r="M25" s="5"/>
      <c r="N25" s="5"/>
      <c r="O25" s="4"/>
    </row>
    <row r="26" spans="2:15" ht="11.25">
      <c r="B26" s="4" t="s">
        <v>17</v>
      </c>
      <c r="C26" s="12">
        <f aca="true" t="shared" si="3" ref="C26:O26">C24/C17</f>
        <v>0.7373320555082991</v>
      </c>
      <c r="D26" s="12">
        <f t="shared" si="3"/>
        <v>0.9499235889246209</v>
      </c>
      <c r="E26" s="12">
        <f t="shared" si="3"/>
        <v>0.9453268790904783</v>
      </c>
      <c r="F26" s="12">
        <f t="shared" si="3"/>
        <v>0.9515829948235822</v>
      </c>
      <c r="G26" s="33">
        <f t="shared" si="3"/>
        <v>1.0352992230555145</v>
      </c>
      <c r="H26" s="12">
        <f t="shared" si="3"/>
        <v>1.038373077020787</v>
      </c>
      <c r="I26" s="12">
        <f t="shared" si="3"/>
        <v>1.1099260405323925</v>
      </c>
      <c r="J26" s="12">
        <f t="shared" si="3"/>
        <v>0.8125598120227007</v>
      </c>
      <c r="K26" s="12">
        <f t="shared" si="3"/>
        <v>1.1160061759836193</v>
      </c>
      <c r="L26" s="12">
        <f t="shared" si="3"/>
        <v>0.9356989214472824</v>
      </c>
      <c r="M26" s="12" t="e">
        <f t="shared" si="3"/>
        <v>#DIV/0!</v>
      </c>
      <c r="N26" s="12" t="e">
        <f t="shared" si="3"/>
        <v>#DIV/0!</v>
      </c>
      <c r="O26" s="13">
        <f t="shared" si="3"/>
        <v>0.9571869306567241</v>
      </c>
    </row>
    <row r="27" spans="2:15" ht="11.25">
      <c r="B27" s="4"/>
      <c r="C27" s="12"/>
      <c r="D27" s="12"/>
      <c r="E27" s="12"/>
      <c r="F27" s="12"/>
      <c r="G27" s="33"/>
      <c r="H27" s="12"/>
      <c r="I27" s="12"/>
      <c r="J27" s="12"/>
      <c r="K27" s="12"/>
      <c r="L27" s="12"/>
      <c r="M27" s="12"/>
      <c r="N27" s="12"/>
      <c r="O27" s="14"/>
    </row>
    <row r="28" spans="2:15" ht="11.25">
      <c r="B28" s="4" t="s">
        <v>18</v>
      </c>
      <c r="C28" s="7">
        <f aca="true" t="shared" si="4" ref="C28:O28">C17-C24</f>
        <v>23987.319999999992</v>
      </c>
      <c r="D28" s="7">
        <f t="shared" si="4"/>
        <v>4573.069999999992</v>
      </c>
      <c r="E28" s="7">
        <f t="shared" si="4"/>
        <v>4992.849999999991</v>
      </c>
      <c r="F28" s="7">
        <f t="shared" si="4"/>
        <v>4421.529999999999</v>
      </c>
      <c r="G28" s="34">
        <f t="shared" si="4"/>
        <v>-3223.5899999999965</v>
      </c>
      <c r="H28" s="7">
        <f t="shared" si="4"/>
        <v>-3504.300000000003</v>
      </c>
      <c r="I28" s="7">
        <f t="shared" si="4"/>
        <v>-10333.36</v>
      </c>
      <c r="J28" s="7">
        <f t="shared" si="4"/>
        <v>17619.90999999999</v>
      </c>
      <c r="K28" s="7">
        <f t="shared" si="4"/>
        <v>-10904.910000000003</v>
      </c>
      <c r="L28" s="7">
        <f t="shared" si="4"/>
        <v>6147.920000000013</v>
      </c>
      <c r="M28" s="7">
        <f t="shared" si="4"/>
        <v>0</v>
      </c>
      <c r="N28" s="7">
        <f t="shared" si="4"/>
        <v>0</v>
      </c>
      <c r="O28" s="7">
        <f t="shared" si="4"/>
        <v>39625.6799999997</v>
      </c>
    </row>
    <row r="29" spans="2:15" ht="11.25">
      <c r="B29" s="5"/>
      <c r="C29" s="5"/>
      <c r="D29" s="5"/>
      <c r="E29" s="5"/>
      <c r="F29" s="5"/>
      <c r="G29" s="27"/>
      <c r="H29" s="5"/>
      <c r="I29" s="5"/>
      <c r="J29" s="5"/>
      <c r="K29" s="5"/>
      <c r="L29" s="5"/>
      <c r="M29" s="5"/>
      <c r="N29" s="5"/>
      <c r="O29" s="4"/>
    </row>
    <row r="30" spans="2:25" s="17" customFormat="1" ht="11.25">
      <c r="B30" s="15" t="s">
        <v>19</v>
      </c>
      <c r="C30" s="16"/>
      <c r="D30" s="16"/>
      <c r="E30" s="16"/>
      <c r="F30" s="16"/>
      <c r="G30" s="35"/>
      <c r="H30" s="16"/>
      <c r="I30" s="16"/>
      <c r="J30" s="16"/>
      <c r="K30" s="16"/>
      <c r="L30" s="16"/>
      <c r="M30" s="16"/>
      <c r="N30" s="16"/>
      <c r="O30" s="15"/>
      <c r="Y30" s="18"/>
    </row>
    <row r="31" spans="2:25" s="17" customFormat="1" ht="11.25">
      <c r="B31" s="16"/>
      <c r="C31" s="16"/>
      <c r="D31" s="16"/>
      <c r="E31" s="16"/>
      <c r="F31" s="16"/>
      <c r="G31" s="35"/>
      <c r="H31" s="16"/>
      <c r="I31" s="16"/>
      <c r="J31" s="16"/>
      <c r="K31" s="16"/>
      <c r="L31" s="16"/>
      <c r="M31" s="16"/>
      <c r="N31" s="16"/>
      <c r="O31" s="15"/>
      <c r="Y31" s="18"/>
    </row>
    <row r="32" spans="2:25" s="17" customFormat="1" ht="11.25">
      <c r="B32" s="16" t="s">
        <v>20</v>
      </c>
      <c r="C32" s="16">
        <v>111.1</v>
      </c>
      <c r="D32" s="16">
        <v>288.69</v>
      </c>
      <c r="E32" s="16">
        <v>397.39</v>
      </c>
      <c r="F32" s="16">
        <v>402.63</v>
      </c>
      <c r="G32" s="35">
        <v>653.08</v>
      </c>
      <c r="H32" s="16">
        <v>765.1</v>
      </c>
      <c r="I32" s="16">
        <v>497.1</v>
      </c>
      <c r="J32" s="16">
        <v>301.53</v>
      </c>
      <c r="K32" s="16">
        <v>336.53</v>
      </c>
      <c r="L32" s="16">
        <v>893.28</v>
      </c>
      <c r="M32" s="16"/>
      <c r="N32" s="16"/>
      <c r="O32" s="16">
        <f>C32+D32+E32+F32+G32+H32+I32+J32+K32+L32+M32+N32</f>
        <v>4646.429999999999</v>
      </c>
      <c r="Y32" s="18"/>
    </row>
    <row r="33" spans="2:25" s="17" customFormat="1" ht="11.25">
      <c r="B33" s="16" t="s">
        <v>125</v>
      </c>
      <c r="C33" s="16">
        <f>25938.75+634.17</f>
        <v>26572.92</v>
      </c>
      <c r="D33" s="16">
        <f>25304.58+1728.81</f>
        <v>27033.390000000003</v>
      </c>
      <c r="E33" s="16">
        <v>25938.75</v>
      </c>
      <c r="F33" s="16">
        <v>25938.75</v>
      </c>
      <c r="G33" s="35">
        <v>25938.75</v>
      </c>
      <c r="H33" s="16">
        <v>25938.75</v>
      </c>
      <c r="I33" s="16">
        <v>25938.75</v>
      </c>
      <c r="J33" s="16">
        <v>25938.75</v>
      </c>
      <c r="K33" s="16">
        <v>25938.75</v>
      </c>
      <c r="L33" s="16">
        <v>25938.75</v>
      </c>
      <c r="M33" s="16"/>
      <c r="N33" s="16"/>
      <c r="O33" s="16">
        <f aca="true" t="shared" si="5" ref="O33:O57">C33+D33+E33+F33+G33+H33+I33+J33+K33+L33+M33+N33</f>
        <v>261116.31</v>
      </c>
      <c r="Y33" s="18"/>
    </row>
    <row r="34" spans="2:25" s="17" customFormat="1" ht="11.25">
      <c r="B34" s="16" t="s">
        <v>26</v>
      </c>
      <c r="C34" s="16">
        <f>1072.07+459.55</f>
        <v>1531.62</v>
      </c>
      <c r="D34" s="16">
        <f>7641.32+2580.02</f>
        <v>10221.34</v>
      </c>
      <c r="E34" s="16">
        <f>7641.32+2580.02</f>
        <v>10221.34</v>
      </c>
      <c r="F34" s="16">
        <f>3345.06+3805.01+2580.02</f>
        <v>9730.09</v>
      </c>
      <c r="G34" s="35">
        <f>3836.31+7641.32</f>
        <v>11477.63</v>
      </c>
      <c r="H34" s="16">
        <f>7641.32+2580.02</f>
        <v>10221.34</v>
      </c>
      <c r="I34" s="16">
        <f>7641.32+2580.02</f>
        <v>10221.34</v>
      </c>
      <c r="J34" s="16">
        <f>7641.32+2580.02</f>
        <v>10221.34</v>
      </c>
      <c r="K34" s="16">
        <f>7641.32+2580.02</f>
        <v>10221.34</v>
      </c>
      <c r="L34" s="16">
        <f>7641.32+2580.02</f>
        <v>10221.34</v>
      </c>
      <c r="M34" s="16"/>
      <c r="N34" s="16"/>
      <c r="O34" s="16">
        <f t="shared" si="5"/>
        <v>94288.71999999999</v>
      </c>
      <c r="Y34" s="18"/>
    </row>
    <row r="35" spans="2:25" s="17" customFormat="1" ht="11.25">
      <c r="B35" s="16" t="s">
        <v>27</v>
      </c>
      <c r="C35" s="16">
        <f>411.01+12223.52</f>
        <v>12634.53</v>
      </c>
      <c r="D35" s="16">
        <f>1268.34+12223.52</f>
        <v>13491.86</v>
      </c>
      <c r="E35" s="16">
        <v>12223.52</v>
      </c>
      <c r="F35" s="16">
        <v>3805.01</v>
      </c>
      <c r="G35" s="35">
        <f>8418.5+2580.02+6341.69</f>
        <v>17340.21</v>
      </c>
      <c r="H35" s="16">
        <f>5881.83+6341.69</f>
        <v>12223.52</v>
      </c>
      <c r="I35" s="16">
        <f>5881.83+6341.69</f>
        <v>12223.52</v>
      </c>
      <c r="J35" s="16">
        <f>13599.89+307.84</f>
        <v>13907.73</v>
      </c>
      <c r="K35" s="16">
        <f>13599.89+307.84</f>
        <v>13907.73</v>
      </c>
      <c r="L35" s="16">
        <f>13599.89+307.84+5881.83</f>
        <v>19789.559999999998</v>
      </c>
      <c r="M35" s="16"/>
      <c r="N35" s="16"/>
      <c r="O35" s="16">
        <f t="shared" si="5"/>
        <v>131547.19</v>
      </c>
      <c r="Y35" s="18"/>
    </row>
    <row r="36" spans="2:25" s="17" customFormat="1" ht="11.25">
      <c r="B36" s="16" t="s">
        <v>23</v>
      </c>
      <c r="C36" s="16"/>
      <c r="D36" s="16">
        <v>5024.92</v>
      </c>
      <c r="E36" s="16">
        <v>12638.98</v>
      </c>
      <c r="F36" s="16">
        <v>3180.23</v>
      </c>
      <c r="G36" s="35">
        <v>2301.72</v>
      </c>
      <c r="H36" s="16">
        <v>22150.63</v>
      </c>
      <c r="I36" s="16">
        <v>2000</v>
      </c>
      <c r="J36" s="16">
        <v>5000</v>
      </c>
      <c r="K36" s="16"/>
      <c r="L36" s="16"/>
      <c r="M36" s="16"/>
      <c r="N36" s="16"/>
      <c r="O36" s="16">
        <f t="shared" si="5"/>
        <v>52296.48</v>
      </c>
      <c r="Y36" s="18"/>
    </row>
    <row r="37" spans="2:25" s="17" customFormat="1" ht="11.25">
      <c r="B37" s="19" t="s">
        <v>28</v>
      </c>
      <c r="C37" s="16">
        <v>73.48</v>
      </c>
      <c r="D37" s="16">
        <v>73.48</v>
      </c>
      <c r="E37" s="16">
        <v>73.48</v>
      </c>
      <c r="F37" s="16">
        <v>73.48</v>
      </c>
      <c r="G37" s="35"/>
      <c r="H37" s="16"/>
      <c r="I37" s="16">
        <v>73.48</v>
      </c>
      <c r="J37" s="16">
        <v>73.48</v>
      </c>
      <c r="K37" s="16">
        <v>73.48</v>
      </c>
      <c r="L37" s="16">
        <v>73.48</v>
      </c>
      <c r="M37" s="16"/>
      <c r="N37" s="16"/>
      <c r="O37" s="16">
        <f t="shared" si="5"/>
        <v>587.84</v>
      </c>
      <c r="Y37" s="18"/>
    </row>
    <row r="38" spans="2:25" s="17" customFormat="1" ht="11.25">
      <c r="B38" s="16" t="s">
        <v>29</v>
      </c>
      <c r="C38" s="16">
        <v>4500</v>
      </c>
      <c r="D38" s="16">
        <v>4500</v>
      </c>
      <c r="E38" s="16">
        <v>4500</v>
      </c>
      <c r="F38" s="16">
        <v>2250</v>
      </c>
      <c r="G38" s="35">
        <f>2250+2250</f>
        <v>4500</v>
      </c>
      <c r="H38" s="16">
        <f>2250+2250</f>
        <v>4500</v>
      </c>
      <c r="I38" s="16">
        <f>2250+2250</f>
        <v>4500</v>
      </c>
      <c r="J38" s="16">
        <v>2250</v>
      </c>
      <c r="K38" s="16"/>
      <c r="L38" s="16"/>
      <c r="M38" s="16"/>
      <c r="N38" s="16"/>
      <c r="O38" s="16">
        <f t="shared" si="5"/>
        <v>31500</v>
      </c>
      <c r="Y38" s="18"/>
    </row>
    <row r="39" spans="2:25" s="17" customFormat="1" ht="11.25">
      <c r="B39" s="16" t="s">
        <v>25</v>
      </c>
      <c r="C39" s="16"/>
      <c r="D39" s="16"/>
      <c r="E39" s="16"/>
      <c r="F39" s="16"/>
      <c r="G39" s="35"/>
      <c r="H39" s="16"/>
      <c r="I39" s="16"/>
      <c r="J39" s="16"/>
      <c r="K39" s="16"/>
      <c r="L39" s="16"/>
      <c r="M39" s="16"/>
      <c r="N39" s="16"/>
      <c r="O39" s="16">
        <v>27000</v>
      </c>
      <c r="Y39" s="18"/>
    </row>
    <row r="40" spans="2:25" s="17" customFormat="1" ht="11.25">
      <c r="B40" s="16" t="s">
        <v>31</v>
      </c>
      <c r="C40" s="16">
        <f>4015.7+508.5</f>
        <v>4524.2</v>
      </c>
      <c r="D40" s="16">
        <f>2795.39+1728.81</f>
        <v>4524.2</v>
      </c>
      <c r="E40" s="16"/>
      <c r="F40" s="16">
        <f>3181.07+1343.13</f>
        <v>4524.200000000001</v>
      </c>
      <c r="G40" s="35">
        <f>3185.56+1338.64</f>
        <v>4524.2</v>
      </c>
      <c r="H40" s="16"/>
      <c r="I40" s="16">
        <v>9048.4</v>
      </c>
      <c r="J40" s="16">
        <f>3340.43+1183.77</f>
        <v>4524.2</v>
      </c>
      <c r="K40" s="16">
        <f>3496.41+1027.79</f>
        <v>4524.2</v>
      </c>
      <c r="L40" s="16">
        <v>4524.2</v>
      </c>
      <c r="M40" s="16"/>
      <c r="N40" s="16"/>
      <c r="O40" s="16">
        <f t="shared" si="5"/>
        <v>40717.799999999996</v>
      </c>
      <c r="Y40" s="18"/>
    </row>
    <row r="41" spans="2:25" s="17" customFormat="1" ht="11.25">
      <c r="B41" s="16" t="s">
        <v>30</v>
      </c>
      <c r="C41" s="16">
        <v>1172.94</v>
      </c>
      <c r="D41" s="16">
        <v>1172.94</v>
      </c>
      <c r="E41" s="16">
        <v>1172.94</v>
      </c>
      <c r="F41" s="16">
        <v>1172.94</v>
      </c>
      <c r="G41" s="35">
        <v>1172.94</v>
      </c>
      <c r="H41" s="16">
        <v>1172.94</v>
      </c>
      <c r="I41" s="16">
        <v>1172.94</v>
      </c>
      <c r="J41" s="16">
        <v>1172.94</v>
      </c>
      <c r="K41" s="16">
        <v>1172.94</v>
      </c>
      <c r="L41" s="16">
        <v>1172.94</v>
      </c>
      <c r="M41" s="16"/>
      <c r="N41" s="16"/>
      <c r="O41" s="16">
        <f t="shared" si="5"/>
        <v>11729.400000000003</v>
      </c>
      <c r="Y41" s="18"/>
    </row>
    <row r="42" spans="2:25" s="17" customFormat="1" ht="11.25">
      <c r="B42" s="16" t="s">
        <v>24</v>
      </c>
      <c r="C42" s="16">
        <v>102.36</v>
      </c>
      <c r="D42" s="16">
        <v>352.48</v>
      </c>
      <c r="E42" s="16">
        <v>117.65</v>
      </c>
      <c r="F42" s="16">
        <v>401.97</v>
      </c>
      <c r="G42" s="35"/>
      <c r="H42" s="16">
        <v>201.65</v>
      </c>
      <c r="I42" s="16">
        <f>466.28-58.28</f>
        <v>408</v>
      </c>
      <c r="J42" s="16">
        <v>374.82</v>
      </c>
      <c r="K42" s="16">
        <v>202.82</v>
      </c>
      <c r="L42" s="16">
        <v>479.09</v>
      </c>
      <c r="M42" s="16"/>
      <c r="N42" s="16"/>
      <c r="O42" s="16">
        <f t="shared" si="5"/>
        <v>2640.84</v>
      </c>
      <c r="Y42" s="18"/>
    </row>
    <row r="43" spans="2:25" s="17" customFormat="1" ht="11.25">
      <c r="B43" s="16" t="s">
        <v>34</v>
      </c>
      <c r="C43" s="16">
        <v>3000</v>
      </c>
      <c r="D43" s="16">
        <v>3000</v>
      </c>
      <c r="E43" s="16">
        <v>3000</v>
      </c>
      <c r="F43" s="16">
        <v>2500</v>
      </c>
      <c r="G43" s="35">
        <v>2000</v>
      </c>
      <c r="H43" s="16">
        <v>2000</v>
      </c>
      <c r="I43" s="16">
        <v>2000</v>
      </c>
      <c r="J43" s="16">
        <v>2000</v>
      </c>
      <c r="K43" s="16">
        <v>2000</v>
      </c>
      <c r="L43" s="16">
        <v>2000</v>
      </c>
      <c r="M43" s="16"/>
      <c r="N43" s="16"/>
      <c r="O43" s="16">
        <f t="shared" si="5"/>
        <v>23500</v>
      </c>
      <c r="Y43" s="18"/>
    </row>
    <row r="44" spans="2:25" s="17" customFormat="1" ht="11.25">
      <c r="B44" s="16" t="s">
        <v>35</v>
      </c>
      <c r="C44" s="16"/>
      <c r="D44" s="16"/>
      <c r="E44" s="16"/>
      <c r="F44" s="16"/>
      <c r="G44" s="35"/>
      <c r="H44" s="16">
        <f>1457.48+959.35</f>
        <v>2416.83</v>
      </c>
      <c r="I44" s="16">
        <f>1457.48+58.28</f>
        <v>1515.76</v>
      </c>
      <c r="J44" s="16">
        <f>1457.48+163.82+16.43</f>
        <v>1637.73</v>
      </c>
      <c r="K44" s="16"/>
      <c r="L44" s="16"/>
      <c r="M44" s="16"/>
      <c r="N44" s="16"/>
      <c r="O44" s="16">
        <f t="shared" si="5"/>
        <v>5570.32</v>
      </c>
      <c r="Y44" s="18"/>
    </row>
    <row r="45" spans="2:25" s="17" customFormat="1" ht="11.25">
      <c r="B45" s="16" t="s">
        <v>36</v>
      </c>
      <c r="C45" s="16"/>
      <c r="D45" s="16"/>
      <c r="E45" s="16">
        <v>25366.75</v>
      </c>
      <c r="F45" s="16"/>
      <c r="G45" s="35"/>
      <c r="H45" s="16"/>
      <c r="I45" s="16"/>
      <c r="J45" s="16"/>
      <c r="K45" s="16"/>
      <c r="L45" s="16"/>
      <c r="M45" s="16"/>
      <c r="N45" s="16"/>
      <c r="O45" s="16">
        <f t="shared" si="5"/>
        <v>25366.75</v>
      </c>
      <c r="Y45" s="18"/>
    </row>
    <row r="46" spans="2:25" s="17" customFormat="1" ht="11.25">
      <c r="B46" s="16"/>
      <c r="C46" s="16"/>
      <c r="D46" s="16"/>
      <c r="E46" s="16"/>
      <c r="F46" s="16"/>
      <c r="G46" s="35"/>
      <c r="H46" s="16"/>
      <c r="I46" s="16"/>
      <c r="J46" s="16"/>
      <c r="K46" s="16"/>
      <c r="L46" s="16"/>
      <c r="M46" s="16"/>
      <c r="N46" s="16"/>
      <c r="O46" s="16"/>
      <c r="Y46" s="18"/>
    </row>
    <row r="47" spans="2:25" s="17" customFormat="1" ht="11.25">
      <c r="B47" s="16" t="s">
        <v>107</v>
      </c>
      <c r="C47" s="16"/>
      <c r="D47" s="16"/>
      <c r="E47" s="16"/>
      <c r="F47" s="16"/>
      <c r="G47" s="35"/>
      <c r="H47" s="16"/>
      <c r="I47" s="16"/>
      <c r="J47" s="16"/>
      <c r="K47" s="16"/>
      <c r="L47" s="16"/>
      <c r="M47" s="16"/>
      <c r="N47" s="16"/>
      <c r="O47" s="16">
        <v>17498.5</v>
      </c>
      <c r="Y47" s="18"/>
    </row>
    <row r="48" spans="2:25" s="17" customFormat="1" ht="11.25">
      <c r="B48" s="16" t="s">
        <v>48</v>
      </c>
      <c r="C48" s="16"/>
      <c r="D48" s="16">
        <v>4190</v>
      </c>
      <c r="E48" s="16"/>
      <c r="F48" s="16"/>
      <c r="G48" s="35"/>
      <c r="H48" s="16"/>
      <c r="I48" s="16"/>
      <c r="J48" s="16"/>
      <c r="K48" s="16"/>
      <c r="L48" s="16"/>
      <c r="M48" s="16"/>
      <c r="N48" s="16"/>
      <c r="O48" s="16">
        <f t="shared" si="5"/>
        <v>4190</v>
      </c>
      <c r="Y48" s="18"/>
    </row>
    <row r="49" spans="2:25" s="17" customFormat="1" ht="11.25">
      <c r="B49" s="16" t="s">
        <v>58</v>
      </c>
      <c r="C49" s="16"/>
      <c r="D49" s="16"/>
      <c r="E49" s="16"/>
      <c r="F49" s="16">
        <v>3800</v>
      </c>
      <c r="G49" s="35"/>
      <c r="H49" s="16"/>
      <c r="I49" s="16"/>
      <c r="J49" s="16"/>
      <c r="K49" s="16"/>
      <c r="L49" s="16"/>
      <c r="M49" s="16"/>
      <c r="N49" s="16"/>
      <c r="O49" s="16">
        <f t="shared" si="5"/>
        <v>3800</v>
      </c>
      <c r="Y49" s="18"/>
    </row>
    <row r="50" spans="2:25" s="17" customFormat="1" ht="11.25">
      <c r="B50" s="16" t="s">
        <v>80</v>
      </c>
      <c r="C50" s="16"/>
      <c r="D50" s="16"/>
      <c r="E50" s="16"/>
      <c r="F50" s="16"/>
      <c r="G50" s="35">
        <v>1000</v>
      </c>
      <c r="H50" s="16"/>
      <c r="I50" s="16"/>
      <c r="J50" s="16"/>
      <c r="K50" s="16"/>
      <c r="L50" s="16"/>
      <c r="M50" s="16"/>
      <c r="N50" s="16"/>
      <c r="O50" s="16">
        <f t="shared" si="5"/>
        <v>1000</v>
      </c>
      <c r="Y50" s="18"/>
    </row>
    <row r="51" spans="2:25" s="17" customFormat="1" ht="11.25">
      <c r="B51" s="16" t="s">
        <v>81</v>
      </c>
      <c r="C51" s="16"/>
      <c r="D51" s="16"/>
      <c r="E51" s="16"/>
      <c r="F51" s="16"/>
      <c r="G51" s="35">
        <v>1000</v>
      </c>
      <c r="H51" s="16"/>
      <c r="I51" s="16"/>
      <c r="J51" s="16"/>
      <c r="K51" s="16"/>
      <c r="L51" s="16"/>
      <c r="M51" s="16"/>
      <c r="N51" s="16"/>
      <c r="O51" s="16">
        <f t="shared" si="5"/>
        <v>1000</v>
      </c>
      <c r="Y51" s="18"/>
    </row>
    <row r="52" spans="2:25" s="17" customFormat="1" ht="11.25">
      <c r="B52" s="19" t="s">
        <v>82</v>
      </c>
      <c r="C52" s="16"/>
      <c r="D52" s="16"/>
      <c r="E52" s="16"/>
      <c r="F52" s="16"/>
      <c r="G52" s="35"/>
      <c r="H52" s="16">
        <v>511</v>
      </c>
      <c r="I52" s="16"/>
      <c r="J52" s="16"/>
      <c r="K52" s="16"/>
      <c r="L52" s="16"/>
      <c r="M52" s="16"/>
      <c r="N52" s="16"/>
      <c r="O52" s="16">
        <f t="shared" si="5"/>
        <v>511</v>
      </c>
      <c r="Y52" s="18"/>
    </row>
    <row r="53" spans="2:25" s="17" customFormat="1" ht="11.25">
      <c r="B53" s="16" t="s">
        <v>83</v>
      </c>
      <c r="C53" s="16"/>
      <c r="D53" s="16"/>
      <c r="E53" s="16"/>
      <c r="F53" s="16"/>
      <c r="G53" s="35"/>
      <c r="H53" s="16">
        <v>2500</v>
      </c>
      <c r="I53" s="16"/>
      <c r="J53" s="16"/>
      <c r="K53" s="16"/>
      <c r="L53" s="16"/>
      <c r="M53" s="16"/>
      <c r="N53" s="16"/>
      <c r="O53" s="16">
        <f t="shared" si="5"/>
        <v>2500</v>
      </c>
      <c r="Y53" s="18"/>
    </row>
    <row r="54" spans="2:25" s="17" customFormat="1" ht="11.25">
      <c r="B54" s="16" t="s">
        <v>84</v>
      </c>
      <c r="C54" s="16"/>
      <c r="D54" s="16"/>
      <c r="E54" s="16"/>
      <c r="F54" s="16"/>
      <c r="G54" s="35"/>
      <c r="H54" s="16"/>
      <c r="I54" s="16">
        <v>6000</v>
      </c>
      <c r="J54" s="16"/>
      <c r="K54" s="16"/>
      <c r="L54" s="16"/>
      <c r="M54" s="16"/>
      <c r="N54" s="16"/>
      <c r="O54" s="16">
        <f t="shared" si="5"/>
        <v>6000</v>
      </c>
      <c r="Y54" s="18"/>
    </row>
    <row r="55" spans="2:25" s="17" customFormat="1" ht="11.25">
      <c r="B55" s="16" t="s">
        <v>70</v>
      </c>
      <c r="C55" s="16"/>
      <c r="D55" s="16"/>
      <c r="E55" s="16"/>
      <c r="F55" s="16"/>
      <c r="G55" s="35"/>
      <c r="H55" s="16"/>
      <c r="I55" s="16"/>
      <c r="J55" s="16">
        <v>2917.18</v>
      </c>
      <c r="K55" s="16"/>
      <c r="L55" s="16"/>
      <c r="M55" s="16"/>
      <c r="N55" s="16"/>
      <c r="O55" s="16">
        <f t="shared" si="5"/>
        <v>2917.18</v>
      </c>
      <c r="Y55" s="18"/>
    </row>
    <row r="56" spans="2:25" s="17" customFormat="1" ht="11.25">
      <c r="B56" s="16" t="s">
        <v>99</v>
      </c>
      <c r="C56" s="16"/>
      <c r="D56" s="16"/>
      <c r="E56" s="16"/>
      <c r="F56" s="16"/>
      <c r="G56" s="35"/>
      <c r="H56" s="16"/>
      <c r="I56" s="16"/>
      <c r="J56" s="16"/>
      <c r="K56" s="16"/>
      <c r="L56" s="16">
        <v>6000</v>
      </c>
      <c r="M56" s="16"/>
      <c r="N56" s="16"/>
      <c r="O56" s="16">
        <f t="shared" si="5"/>
        <v>6000</v>
      </c>
      <c r="Y56" s="18"/>
    </row>
    <row r="57" spans="2:25" s="17" customFormat="1" ht="11.25">
      <c r="B57" s="16" t="s">
        <v>100</v>
      </c>
      <c r="C57" s="16"/>
      <c r="D57" s="16"/>
      <c r="E57" s="16"/>
      <c r="F57" s="16"/>
      <c r="G57" s="35"/>
      <c r="H57" s="16"/>
      <c r="I57" s="16"/>
      <c r="J57" s="16"/>
      <c r="K57" s="16"/>
      <c r="L57" s="16">
        <v>2000</v>
      </c>
      <c r="M57" s="16"/>
      <c r="N57" s="16"/>
      <c r="O57" s="16">
        <f t="shared" si="5"/>
        <v>2000</v>
      </c>
      <c r="Y57" s="18"/>
    </row>
    <row r="58" spans="2:25" s="17" customFormat="1" ht="11.25">
      <c r="B58" s="15" t="s">
        <v>14</v>
      </c>
      <c r="C58" s="15">
        <f aca="true" t="shared" si="6" ref="C58:O58">SUM(C32:C57)</f>
        <v>54223.15</v>
      </c>
      <c r="D58" s="15">
        <f t="shared" si="6"/>
        <v>73873.29999999999</v>
      </c>
      <c r="E58" s="15">
        <f t="shared" si="6"/>
        <v>95650.79999999999</v>
      </c>
      <c r="F58" s="15">
        <f t="shared" si="6"/>
        <v>57779.30000000002</v>
      </c>
      <c r="G58" s="36">
        <f t="shared" si="6"/>
        <v>71908.53</v>
      </c>
      <c r="H58" s="15">
        <f t="shared" si="6"/>
        <v>84601.76000000001</v>
      </c>
      <c r="I58" s="15">
        <f t="shared" si="6"/>
        <v>75599.29000000001</v>
      </c>
      <c r="J58" s="15">
        <f t="shared" si="6"/>
        <v>70319.69999999998</v>
      </c>
      <c r="K58" s="15">
        <f t="shared" si="6"/>
        <v>58377.78999999999</v>
      </c>
      <c r="L58" s="15">
        <f t="shared" si="6"/>
        <v>73092.63999999998</v>
      </c>
      <c r="M58" s="15">
        <f t="shared" si="6"/>
        <v>0</v>
      </c>
      <c r="N58" s="15">
        <f t="shared" si="6"/>
        <v>0</v>
      </c>
      <c r="O58" s="15">
        <f t="shared" si="6"/>
        <v>759924.76</v>
      </c>
      <c r="Y58" s="18"/>
    </row>
    <row r="59" ht="11.25">
      <c r="G59" s="37"/>
    </row>
    <row r="60" spans="2:15" ht="11.25">
      <c r="B60" s="20" t="s">
        <v>109</v>
      </c>
      <c r="C60" s="21">
        <f aca="true" t="shared" si="7" ref="C60:O60">C9+C24-C58</f>
        <v>2098.560000000005</v>
      </c>
      <c r="D60" s="21">
        <f t="shared" si="7"/>
        <v>14974.030000000028</v>
      </c>
      <c r="E60" s="21">
        <f t="shared" si="7"/>
        <v>5652.220000000045</v>
      </c>
      <c r="F60" s="21">
        <f t="shared" si="7"/>
        <v>34773.230000000025</v>
      </c>
      <c r="G60" s="38">
        <f t="shared" si="7"/>
        <v>57410.13000000002</v>
      </c>
      <c r="H60" s="21">
        <f t="shared" si="7"/>
        <v>67634.51000000001</v>
      </c>
      <c r="I60" s="21">
        <f t="shared" si="7"/>
        <v>96371.42000000001</v>
      </c>
      <c r="J60" s="21">
        <f t="shared" si="7"/>
        <v>102434.65000000005</v>
      </c>
      <c r="K60" s="21">
        <f t="shared" si="7"/>
        <v>148964.61000000004</v>
      </c>
      <c r="L60" s="38">
        <f t="shared" si="7"/>
        <v>165335.51000000004</v>
      </c>
      <c r="M60" s="21">
        <f t="shared" si="7"/>
        <v>165335.51000000004</v>
      </c>
      <c r="N60" s="21">
        <f t="shared" si="7"/>
        <v>165335.51000000004</v>
      </c>
      <c r="O60" s="42">
        <f t="shared" si="7"/>
        <v>114987.77000000002</v>
      </c>
    </row>
    <row r="61" spans="2:15" s="3" customFormat="1" ht="11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11.25">
      <c r="B62" s="2" t="s">
        <v>21</v>
      </c>
    </row>
    <row r="63" ht="11.25">
      <c r="B63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Y60"/>
  <sheetViews>
    <sheetView zoomScale="90" zoomScaleNormal="90" zoomScalePageLayoutView="0" workbookViewId="0" topLeftCell="A1">
      <pane xSplit="2" ySplit="5" topLeftCell="H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38" sqref="Q38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9.7539062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1.25">
      <c r="B1" s="43" t="s">
        <v>105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"/>
    </row>
    <row r="2" spans="2:16" ht="11.25">
      <c r="B2" s="46" t="s">
        <v>104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</row>
    <row r="3" spans="2:15" ht="11.25">
      <c r="B3" s="46" t="s">
        <v>106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1.25">
      <c r="B4" s="46" t="s">
        <v>126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6" spans="2:15" ht="11.25">
      <c r="B6" s="5"/>
      <c r="C6" s="5"/>
      <c r="D6" s="5"/>
      <c r="E6" s="5"/>
      <c r="F6" s="5"/>
      <c r="G6" s="27"/>
      <c r="H6" s="5"/>
      <c r="I6" s="5"/>
      <c r="J6" s="5"/>
      <c r="K6" s="5"/>
      <c r="L6" s="5"/>
      <c r="M6" s="5"/>
      <c r="N6" s="5"/>
      <c r="O6" s="4"/>
    </row>
    <row r="7" spans="2:15" ht="11.25">
      <c r="B7" s="4" t="s">
        <v>39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1.25">
      <c r="B8" s="5" t="s">
        <v>13</v>
      </c>
      <c r="C8" s="5">
        <v>-8979.85</v>
      </c>
      <c r="D8" s="5"/>
      <c r="E8" s="5"/>
      <c r="F8" s="5"/>
      <c r="G8" s="27"/>
      <c r="H8" s="5"/>
      <c r="I8" s="5"/>
      <c r="J8" s="5"/>
      <c r="K8" s="5"/>
      <c r="L8" s="5"/>
      <c r="M8" s="5"/>
      <c r="N8" s="5"/>
      <c r="O8" s="5">
        <f>C8+D8+E8+F8+G8+H8+I8+J8+K8+L8+M8+N8</f>
        <v>-8979.85</v>
      </c>
    </row>
    <row r="9" spans="2:15" s="3" customFormat="1" ht="11.25">
      <c r="B9" s="4" t="s">
        <v>14</v>
      </c>
      <c r="C9" s="4">
        <f>C8</f>
        <v>-8979.85</v>
      </c>
      <c r="D9" s="4">
        <f aca="true" t="shared" si="0" ref="D9:I9">C57</f>
        <v>-12211.309999999998</v>
      </c>
      <c r="E9" s="4">
        <f t="shared" si="0"/>
        <v>-9572.759999999995</v>
      </c>
      <c r="F9" s="4">
        <f t="shared" si="0"/>
        <v>-19214.799999999996</v>
      </c>
      <c r="G9" s="28">
        <f t="shared" si="0"/>
        <v>-15593.979999999989</v>
      </c>
      <c r="H9" s="4">
        <f t="shared" si="0"/>
        <v>-11490.599999999984</v>
      </c>
      <c r="I9" s="4">
        <f t="shared" si="0"/>
        <v>-5396.949999999986</v>
      </c>
      <c r="J9" s="4">
        <f>I57</f>
        <v>-4564.779999999977</v>
      </c>
      <c r="K9" s="4">
        <f>J57</f>
        <v>2071.6300000000338</v>
      </c>
      <c r="L9" s="4">
        <f>K57</f>
        <v>10735.610000000033</v>
      </c>
      <c r="M9" s="4">
        <f>L57</f>
        <v>17602.240000000027</v>
      </c>
      <c r="N9" s="4">
        <f>M57</f>
        <v>17602.240000000027</v>
      </c>
      <c r="O9" s="4">
        <f>O8</f>
        <v>-8979.85</v>
      </c>
    </row>
    <row r="10" spans="2:15" ht="11.25">
      <c r="B10" s="5"/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1.25">
      <c r="B11" s="5"/>
      <c r="C11" s="5"/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4"/>
    </row>
    <row r="12" spans="2:25" s="10" customFormat="1" ht="11.25">
      <c r="B12" s="8" t="s">
        <v>15</v>
      </c>
      <c r="C12" s="9"/>
      <c r="D12" s="9"/>
      <c r="E12" s="9"/>
      <c r="F12" s="9"/>
      <c r="G12" s="29"/>
      <c r="H12" s="9"/>
      <c r="I12" s="9"/>
      <c r="J12" s="9"/>
      <c r="K12" s="9"/>
      <c r="L12" s="9"/>
      <c r="M12" s="9"/>
      <c r="N12" s="9"/>
      <c r="O12" s="8"/>
      <c r="Y12" s="11"/>
    </row>
    <row r="13" spans="2:25" s="10" customFormat="1" ht="11.25">
      <c r="B13" s="9" t="s">
        <v>13</v>
      </c>
      <c r="C13" s="9">
        <v>37770.2</v>
      </c>
      <c r="D13" s="9">
        <v>37770.2</v>
      </c>
      <c r="E13" s="9">
        <v>37770.2</v>
      </c>
      <c r="F13" s="9">
        <v>37770.2</v>
      </c>
      <c r="G13" s="9">
        <v>37770.2</v>
      </c>
      <c r="H13" s="9">
        <v>37770.2</v>
      </c>
      <c r="I13" s="9">
        <v>37770.2</v>
      </c>
      <c r="J13" s="9">
        <v>37770.2</v>
      </c>
      <c r="K13" s="9">
        <v>37770.2</v>
      </c>
      <c r="L13" s="9">
        <v>34850.27</v>
      </c>
      <c r="M13" s="9"/>
      <c r="N13" s="9"/>
      <c r="O13" s="9">
        <f>C13+D13+E13+F13+G13+H13+I13+J13+K13+L13+M13+N13</f>
        <v>374782.07000000007</v>
      </c>
      <c r="Y13" s="11"/>
    </row>
    <row r="14" spans="2:25" s="10" customFormat="1" ht="11.25">
      <c r="B14" s="9" t="s">
        <v>33</v>
      </c>
      <c r="C14" s="9"/>
      <c r="D14" s="9"/>
      <c r="E14" s="9"/>
      <c r="F14" s="9"/>
      <c r="G14" s="29"/>
      <c r="H14" s="9"/>
      <c r="I14" s="9"/>
      <c r="J14" s="9"/>
      <c r="K14" s="9"/>
      <c r="L14" s="9">
        <v>4503.37</v>
      </c>
      <c r="M14" s="9"/>
      <c r="N14" s="9"/>
      <c r="O14" s="9">
        <f>C14+D14+E14+F14+G14+H14+I14+J14+K14+L14+M14+N14</f>
        <v>4503.37</v>
      </c>
      <c r="Y14" s="11"/>
    </row>
    <row r="15" spans="2:25" s="10" customFormat="1" ht="11.25">
      <c r="B15" s="16" t="s">
        <v>25</v>
      </c>
      <c r="C15" s="9"/>
      <c r="D15" s="9"/>
      <c r="E15" s="9"/>
      <c r="F15" s="9"/>
      <c r="G15" s="29"/>
      <c r="H15" s="9"/>
      <c r="I15" s="9"/>
      <c r="J15" s="9"/>
      <c r="K15" s="9"/>
      <c r="L15" s="9"/>
      <c r="M15" s="9"/>
      <c r="N15" s="9"/>
      <c r="O15" s="9">
        <f>C15+D15+E15+F15+G15+H15+I15+J15+K15+L15+M15+N15</f>
        <v>0</v>
      </c>
      <c r="Y15" s="11"/>
    </row>
    <row r="16" spans="2:25" s="10" customFormat="1" ht="11.25">
      <c r="B16" s="16"/>
      <c r="C16" s="9"/>
      <c r="D16" s="9"/>
      <c r="E16" s="9"/>
      <c r="F16" s="9"/>
      <c r="G16" s="29"/>
      <c r="H16" s="9"/>
      <c r="I16" s="9"/>
      <c r="J16" s="9"/>
      <c r="K16" s="9"/>
      <c r="L16" s="9"/>
      <c r="M16" s="9"/>
      <c r="N16" s="9"/>
      <c r="O16" s="9"/>
      <c r="Y16" s="11"/>
    </row>
    <row r="17" spans="2:15" s="11" customFormat="1" ht="11.25">
      <c r="B17" s="8" t="s">
        <v>14</v>
      </c>
      <c r="C17" s="8">
        <f aca="true" t="shared" si="1" ref="C17:N17">SUM(C11:C15)</f>
        <v>37770.2</v>
      </c>
      <c r="D17" s="8">
        <f t="shared" si="1"/>
        <v>37770.2</v>
      </c>
      <c r="E17" s="8">
        <f t="shared" si="1"/>
        <v>37770.2</v>
      </c>
      <c r="F17" s="8">
        <f t="shared" si="1"/>
        <v>37770.2</v>
      </c>
      <c r="G17" s="30">
        <f t="shared" si="1"/>
        <v>37770.2</v>
      </c>
      <c r="H17" s="8">
        <f t="shared" si="1"/>
        <v>37770.2</v>
      </c>
      <c r="I17" s="8">
        <f t="shared" si="1"/>
        <v>37770.2</v>
      </c>
      <c r="J17" s="8">
        <f t="shared" si="1"/>
        <v>37770.2</v>
      </c>
      <c r="K17" s="8">
        <f t="shared" si="1"/>
        <v>37770.2</v>
      </c>
      <c r="L17" s="8">
        <f t="shared" si="1"/>
        <v>39353.64</v>
      </c>
      <c r="M17" s="8">
        <f t="shared" si="1"/>
        <v>0</v>
      </c>
      <c r="N17" s="8">
        <f t="shared" si="1"/>
        <v>0</v>
      </c>
      <c r="O17" s="8">
        <f>C17+D17+E17+F17+G17+H17+I17+J17+K17+L17+M17+N17</f>
        <v>379285.44000000006</v>
      </c>
    </row>
    <row r="18" spans="2:15" ht="11.25">
      <c r="B18" s="5"/>
      <c r="C18" s="5"/>
      <c r="D18" s="5"/>
      <c r="E18" s="5"/>
      <c r="F18" s="5"/>
      <c r="G18" s="27"/>
      <c r="H18" s="5"/>
      <c r="I18" s="5"/>
      <c r="J18" s="5"/>
      <c r="K18" s="5"/>
      <c r="L18" s="5"/>
      <c r="M18" s="5"/>
      <c r="N18" s="5"/>
      <c r="O18" s="4"/>
    </row>
    <row r="19" spans="2:25" s="25" customFormat="1" ht="11.25">
      <c r="B19" s="23" t="s">
        <v>16</v>
      </c>
      <c r="C19" s="24"/>
      <c r="D19" s="24"/>
      <c r="E19" s="24"/>
      <c r="F19" s="24"/>
      <c r="G19" s="31"/>
      <c r="H19" s="24"/>
      <c r="I19" s="24"/>
      <c r="J19" s="24"/>
      <c r="K19" s="24"/>
      <c r="L19" s="24"/>
      <c r="M19" s="24"/>
      <c r="N19" s="24"/>
      <c r="O19" s="23"/>
      <c r="Y19" s="26"/>
    </row>
    <row r="20" spans="2:25" s="25" customFormat="1" ht="11.25">
      <c r="B20" s="24" t="s">
        <v>13</v>
      </c>
      <c r="C20" s="24">
        <v>31564.47</v>
      </c>
      <c r="D20" s="24">
        <v>34178.44</v>
      </c>
      <c r="E20" s="24">
        <v>34198.23</v>
      </c>
      <c r="F20" s="24">
        <v>38237.69</v>
      </c>
      <c r="G20" s="31">
        <v>38811.01</v>
      </c>
      <c r="H20" s="24">
        <v>35556.79</v>
      </c>
      <c r="I20" s="24">
        <v>39238.2</v>
      </c>
      <c r="J20" s="24">
        <f>36775.66+175.62</f>
        <v>36951.280000000006</v>
      </c>
      <c r="K20" s="24">
        <v>38443.1</v>
      </c>
      <c r="L20" s="24">
        <v>36418.42</v>
      </c>
      <c r="M20" s="24"/>
      <c r="N20" s="24"/>
      <c r="O20" s="24">
        <f>C20+D20+E20+F20+G20+H20+I20+J20+K20+L20+M20+N20-2535.57</f>
        <v>361062.06</v>
      </c>
      <c r="Y20" s="26"/>
    </row>
    <row r="21" spans="2:25" s="25" customFormat="1" ht="11.25">
      <c r="B21" s="9" t="s">
        <v>33</v>
      </c>
      <c r="C21" s="24"/>
      <c r="D21" s="24"/>
      <c r="E21" s="24"/>
      <c r="F21" s="24"/>
      <c r="G21" s="31"/>
      <c r="H21" s="24"/>
      <c r="I21" s="24"/>
      <c r="J21" s="24"/>
      <c r="K21" s="24"/>
      <c r="L21" s="24"/>
      <c r="M21" s="24"/>
      <c r="N21" s="24"/>
      <c r="O21" s="24">
        <f>C21+D21+E21+F21+G21+H21+I21+J21+K21+L21+M21+N21</f>
        <v>0</v>
      </c>
      <c r="Y21" s="26"/>
    </row>
    <row r="22" spans="2:25" s="25" customFormat="1" ht="11.25">
      <c r="B22" s="16" t="s">
        <v>25</v>
      </c>
      <c r="C22" s="24"/>
      <c r="D22" s="24"/>
      <c r="E22" s="24"/>
      <c r="F22" s="24"/>
      <c r="G22" s="31"/>
      <c r="H22" s="24"/>
      <c r="I22" s="24"/>
      <c r="J22" s="24"/>
      <c r="K22" s="24"/>
      <c r="L22" s="24"/>
      <c r="M22" s="24"/>
      <c r="N22" s="24"/>
      <c r="O22" s="24">
        <f>C22+D22+E22+F22+G22+H22+I22+J22+K22+L22+M22+N22</f>
        <v>0</v>
      </c>
      <c r="Y22" s="26"/>
    </row>
    <row r="23" spans="2:25" s="25" customFormat="1" ht="11.25">
      <c r="B23" s="16"/>
      <c r="C23" s="24"/>
      <c r="D23" s="24"/>
      <c r="E23" s="24"/>
      <c r="F23" s="24"/>
      <c r="G23" s="31"/>
      <c r="H23" s="24"/>
      <c r="I23" s="24"/>
      <c r="J23" s="24"/>
      <c r="K23" s="24"/>
      <c r="L23" s="24"/>
      <c r="M23" s="24"/>
      <c r="N23" s="24"/>
      <c r="O23" s="24"/>
      <c r="Y23" s="26"/>
    </row>
    <row r="24" spans="2:15" s="26" customFormat="1" ht="11.25">
      <c r="B24" s="23" t="s">
        <v>14</v>
      </c>
      <c r="C24" s="23">
        <f aca="true" t="shared" si="2" ref="C24:O24">SUM(C20:C23)</f>
        <v>31564.47</v>
      </c>
      <c r="D24" s="23">
        <f t="shared" si="2"/>
        <v>34178.44</v>
      </c>
      <c r="E24" s="23">
        <f t="shared" si="2"/>
        <v>34198.23</v>
      </c>
      <c r="F24" s="23">
        <f t="shared" si="2"/>
        <v>38237.69</v>
      </c>
      <c r="G24" s="32">
        <f t="shared" si="2"/>
        <v>38811.01</v>
      </c>
      <c r="H24" s="23">
        <f t="shared" si="2"/>
        <v>35556.79</v>
      </c>
      <c r="I24" s="23">
        <f t="shared" si="2"/>
        <v>39238.2</v>
      </c>
      <c r="J24" s="23">
        <f t="shared" si="2"/>
        <v>36951.280000000006</v>
      </c>
      <c r="K24" s="23">
        <f t="shared" si="2"/>
        <v>38443.1</v>
      </c>
      <c r="L24" s="23">
        <f t="shared" si="2"/>
        <v>36418.42</v>
      </c>
      <c r="M24" s="23">
        <f t="shared" si="2"/>
        <v>0</v>
      </c>
      <c r="N24" s="23">
        <f t="shared" si="2"/>
        <v>0</v>
      </c>
      <c r="O24" s="23">
        <f t="shared" si="2"/>
        <v>361062.06</v>
      </c>
    </row>
    <row r="25" spans="2:15" ht="11.25">
      <c r="B25" s="5"/>
      <c r="C25" s="5"/>
      <c r="D25" s="5"/>
      <c r="E25" s="5"/>
      <c r="F25" s="5"/>
      <c r="G25" s="27"/>
      <c r="H25" s="5"/>
      <c r="I25" s="5"/>
      <c r="J25" s="5"/>
      <c r="K25" s="5"/>
      <c r="L25" s="5"/>
      <c r="M25" s="5"/>
      <c r="N25" s="5"/>
      <c r="O25" s="4"/>
    </row>
    <row r="26" spans="2:15" ht="11.25">
      <c r="B26" s="4" t="s">
        <v>17</v>
      </c>
      <c r="C26" s="12">
        <f aca="true" t="shared" si="3" ref="C26:O26">C24/C17</f>
        <v>0.8356977193660612</v>
      </c>
      <c r="D26" s="12">
        <f t="shared" si="3"/>
        <v>0.9049049250467301</v>
      </c>
      <c r="E26" s="12">
        <f t="shared" si="3"/>
        <v>0.9054288830877254</v>
      </c>
      <c r="F26" s="12">
        <f t="shared" si="3"/>
        <v>1.012377218018438</v>
      </c>
      <c r="G26" s="33">
        <f t="shared" si="3"/>
        <v>1.0275563804268975</v>
      </c>
      <c r="H26" s="12">
        <f t="shared" si="3"/>
        <v>0.9413979804184252</v>
      </c>
      <c r="I26" s="12">
        <f t="shared" si="3"/>
        <v>1.0388666197160725</v>
      </c>
      <c r="J26" s="12">
        <f t="shared" si="3"/>
        <v>0.9783183567998054</v>
      </c>
      <c r="K26" s="12">
        <f t="shared" si="3"/>
        <v>1.017815632429799</v>
      </c>
      <c r="L26" s="12">
        <f t="shared" si="3"/>
        <v>0.9254142691756087</v>
      </c>
      <c r="M26" s="12" t="e">
        <f t="shared" si="3"/>
        <v>#DIV/0!</v>
      </c>
      <c r="N26" s="12" t="e">
        <f t="shared" si="3"/>
        <v>#DIV/0!</v>
      </c>
      <c r="O26" s="13">
        <f t="shared" si="3"/>
        <v>0.9519533889832416</v>
      </c>
    </row>
    <row r="27" spans="2:15" ht="11.25">
      <c r="B27" s="4"/>
      <c r="C27" s="12"/>
      <c r="D27" s="12"/>
      <c r="E27" s="12"/>
      <c r="F27" s="12"/>
      <c r="G27" s="33"/>
      <c r="H27" s="12"/>
      <c r="I27" s="12"/>
      <c r="J27" s="12"/>
      <c r="K27" s="12"/>
      <c r="L27" s="12"/>
      <c r="M27" s="12"/>
      <c r="N27" s="12"/>
      <c r="O27" s="14"/>
    </row>
    <row r="28" spans="2:15" ht="11.25">
      <c r="B28" s="4" t="s">
        <v>18</v>
      </c>
      <c r="C28" s="7">
        <f aca="true" t="shared" si="4" ref="C28:O28">C17-C24</f>
        <v>6205.729999999996</v>
      </c>
      <c r="D28" s="7">
        <f t="shared" si="4"/>
        <v>3591.7599999999948</v>
      </c>
      <c r="E28" s="7">
        <f t="shared" si="4"/>
        <v>3571.969999999994</v>
      </c>
      <c r="F28" s="7">
        <f t="shared" si="4"/>
        <v>-467.49000000000524</v>
      </c>
      <c r="G28" s="34">
        <f t="shared" si="4"/>
        <v>-1040.810000000005</v>
      </c>
      <c r="H28" s="7">
        <f t="shared" si="4"/>
        <v>2213.409999999996</v>
      </c>
      <c r="I28" s="7">
        <f t="shared" si="4"/>
        <v>-1468</v>
      </c>
      <c r="J28" s="7">
        <f t="shared" si="4"/>
        <v>818.919999999991</v>
      </c>
      <c r="K28" s="7">
        <f t="shared" si="4"/>
        <v>-672.9000000000015</v>
      </c>
      <c r="L28" s="7">
        <f t="shared" si="4"/>
        <v>2935.220000000001</v>
      </c>
      <c r="M28" s="7">
        <f t="shared" si="4"/>
        <v>0</v>
      </c>
      <c r="N28" s="7">
        <f t="shared" si="4"/>
        <v>0</v>
      </c>
      <c r="O28" s="7">
        <f t="shared" si="4"/>
        <v>18223.380000000063</v>
      </c>
    </row>
    <row r="29" spans="2:15" ht="11.25">
      <c r="B29" s="5"/>
      <c r="C29" s="5"/>
      <c r="D29" s="5"/>
      <c r="E29" s="5"/>
      <c r="F29" s="5"/>
      <c r="G29" s="27"/>
      <c r="H29" s="5"/>
      <c r="I29" s="5"/>
      <c r="J29" s="5"/>
      <c r="K29" s="5"/>
      <c r="L29" s="5"/>
      <c r="M29" s="5"/>
      <c r="N29" s="5"/>
      <c r="O29" s="4"/>
    </row>
    <row r="30" spans="2:25" s="17" customFormat="1" ht="11.25">
      <c r="B30" s="15" t="s">
        <v>19</v>
      </c>
      <c r="C30" s="16"/>
      <c r="D30" s="16"/>
      <c r="E30" s="16"/>
      <c r="F30" s="16"/>
      <c r="G30" s="35"/>
      <c r="H30" s="16"/>
      <c r="I30" s="16"/>
      <c r="J30" s="16"/>
      <c r="K30" s="16"/>
      <c r="L30" s="16"/>
      <c r="M30" s="16"/>
      <c r="N30" s="16"/>
      <c r="O30" s="15"/>
      <c r="Y30" s="18"/>
    </row>
    <row r="31" spans="2:25" s="17" customFormat="1" ht="11.25">
      <c r="B31" s="16"/>
      <c r="C31" s="16"/>
      <c r="D31" s="16"/>
      <c r="E31" s="16"/>
      <c r="F31" s="16"/>
      <c r="G31" s="35"/>
      <c r="H31" s="16"/>
      <c r="I31" s="16"/>
      <c r="J31" s="16"/>
      <c r="K31" s="16"/>
      <c r="L31" s="16"/>
      <c r="M31" s="16"/>
      <c r="N31" s="16"/>
      <c r="O31" s="15"/>
      <c r="Y31" s="18"/>
    </row>
    <row r="32" spans="2:25" s="17" customFormat="1" ht="11.25">
      <c r="B32" s="16" t="s">
        <v>20</v>
      </c>
      <c r="C32" s="16">
        <v>111.1</v>
      </c>
      <c r="D32" s="16">
        <v>288.69</v>
      </c>
      <c r="E32" s="16">
        <v>397.39</v>
      </c>
      <c r="F32" s="16">
        <v>402.63</v>
      </c>
      <c r="G32" s="35">
        <v>653.08</v>
      </c>
      <c r="H32" s="16">
        <v>715.09</v>
      </c>
      <c r="I32" s="16">
        <v>472.1</v>
      </c>
      <c r="J32" s="16">
        <v>301.53</v>
      </c>
      <c r="K32" s="16">
        <v>371.53</v>
      </c>
      <c r="L32" s="16">
        <v>818.28</v>
      </c>
      <c r="M32" s="16"/>
      <c r="N32" s="16"/>
      <c r="O32" s="16">
        <f>C32+D32+E32+F32+G32+H32+I32+J32+K32+L32+M32+N32</f>
        <v>4531.419999999999</v>
      </c>
      <c r="Y32" s="18"/>
    </row>
    <row r="33" spans="2:25" s="17" customFormat="1" ht="11.25">
      <c r="B33" s="16" t="s">
        <v>32</v>
      </c>
      <c r="C33" s="16">
        <f>11243.9+274.9</f>
        <v>11518.8</v>
      </c>
      <c r="D33" s="16">
        <f>10969+749.4</f>
        <v>11718.4</v>
      </c>
      <c r="E33" s="16">
        <v>11243.9</v>
      </c>
      <c r="F33" s="16">
        <v>11243.9</v>
      </c>
      <c r="G33" s="35">
        <v>11243.9</v>
      </c>
      <c r="H33" s="16">
        <v>11243.9</v>
      </c>
      <c r="I33" s="16">
        <v>11243.9</v>
      </c>
      <c r="J33" s="16">
        <v>11243.9</v>
      </c>
      <c r="K33" s="16">
        <v>11243.9</v>
      </c>
      <c r="L33" s="16">
        <v>11243.9</v>
      </c>
      <c r="M33" s="16"/>
      <c r="N33" s="16"/>
      <c r="O33" s="16">
        <f aca="true" t="shared" si="5" ref="O33:O54">C33+D33+E33+F33+G33+H33+I33+J33+K33+L33+M33+N33</f>
        <v>113188.39999999998</v>
      </c>
      <c r="Y33" s="18"/>
    </row>
    <row r="34" spans="2:25" s="17" customFormat="1" ht="11.25">
      <c r="B34" s="16" t="s">
        <v>26</v>
      </c>
      <c r="C34" s="16">
        <f>4980.55+2134.94</f>
        <v>7115.49</v>
      </c>
      <c r="D34" s="16">
        <f>3312.35+1118.38</f>
        <v>4430.73</v>
      </c>
      <c r="E34" s="16">
        <f>3312.35+1118.38</f>
        <v>4430.73</v>
      </c>
      <c r="F34" s="16">
        <f>1450.01+1649.39+1118.38</f>
        <v>4217.780000000001</v>
      </c>
      <c r="G34" s="35">
        <f>1662.96+3312.35</f>
        <v>4975.3099999999995</v>
      </c>
      <c r="H34" s="16">
        <f>3312.35+1118.38</f>
        <v>4430.73</v>
      </c>
      <c r="I34" s="16">
        <f>3312.35+1118.38</f>
        <v>4430.73</v>
      </c>
      <c r="J34" s="16">
        <f>3312.35+1118.38</f>
        <v>4430.73</v>
      </c>
      <c r="K34" s="16">
        <f>3312.35+1118.38</f>
        <v>4430.73</v>
      </c>
      <c r="L34" s="16">
        <f>3312.35+1118.38</f>
        <v>4430.73</v>
      </c>
      <c r="M34" s="16"/>
      <c r="N34" s="16"/>
      <c r="O34" s="16">
        <f t="shared" si="5"/>
        <v>47323.68999999999</v>
      </c>
      <c r="Y34" s="18"/>
    </row>
    <row r="35" spans="2:25" s="17" customFormat="1" ht="11.25">
      <c r="B35" s="16" t="s">
        <v>27</v>
      </c>
      <c r="C35" s="16">
        <f>1909.44+5298.64</f>
        <v>7208.08</v>
      </c>
      <c r="D35" s="16">
        <f>549.8+5298.64</f>
        <v>5848.4400000000005</v>
      </c>
      <c r="E35" s="16">
        <v>5298.64</v>
      </c>
      <c r="F35" s="16">
        <v>1649.39</v>
      </c>
      <c r="G35" s="35">
        <f>3649.24+2748.99+1118.38</f>
        <v>7516.61</v>
      </c>
      <c r="H35" s="16">
        <f>2549.65+2748.99</f>
        <v>5298.639999999999</v>
      </c>
      <c r="I35" s="16">
        <f>2549.65+2748.99</f>
        <v>5298.639999999999</v>
      </c>
      <c r="J35" s="16">
        <f>5895.26+133.44</f>
        <v>6028.7</v>
      </c>
      <c r="K35" s="16">
        <f>5895.26+133.44</f>
        <v>6028.7</v>
      </c>
      <c r="L35" s="16">
        <f>5895.26+133.44+2549.65</f>
        <v>8578.35</v>
      </c>
      <c r="M35" s="16"/>
      <c r="N35" s="16"/>
      <c r="O35" s="16">
        <f t="shared" si="5"/>
        <v>58754.189999999995</v>
      </c>
      <c r="Y35" s="18"/>
    </row>
    <row r="36" spans="2:25" s="17" customFormat="1" ht="11.25">
      <c r="B36" s="16" t="s">
        <v>23</v>
      </c>
      <c r="C36" s="16">
        <v>838.66</v>
      </c>
      <c r="D36" s="16">
        <v>999.71</v>
      </c>
      <c r="E36" s="16">
        <v>5416.07</v>
      </c>
      <c r="F36" s="16">
        <v>1599.76</v>
      </c>
      <c r="G36" s="35">
        <v>2449.14</v>
      </c>
      <c r="H36" s="16">
        <v>617.03</v>
      </c>
      <c r="I36" s="16">
        <v>1500</v>
      </c>
      <c r="J36" s="16"/>
      <c r="K36" s="16"/>
      <c r="L36" s="16"/>
      <c r="M36" s="16"/>
      <c r="N36" s="16"/>
      <c r="O36" s="16">
        <f t="shared" si="5"/>
        <v>13420.369999999999</v>
      </c>
      <c r="Y36" s="18"/>
    </row>
    <row r="37" spans="2:25" s="17" customFormat="1" ht="11.25">
      <c r="B37" s="19" t="s">
        <v>28</v>
      </c>
      <c r="C37" s="16">
        <v>31.85</v>
      </c>
      <c r="D37" s="16">
        <v>31.85</v>
      </c>
      <c r="E37" s="16">
        <v>31.5</v>
      </c>
      <c r="F37" s="16">
        <v>31.85</v>
      </c>
      <c r="G37" s="35"/>
      <c r="H37" s="16"/>
      <c r="I37" s="16">
        <v>31.85</v>
      </c>
      <c r="J37" s="16">
        <v>31.85</v>
      </c>
      <c r="K37" s="16">
        <v>31.85</v>
      </c>
      <c r="L37" s="16">
        <v>31.85</v>
      </c>
      <c r="M37" s="16"/>
      <c r="N37" s="16"/>
      <c r="O37" s="16">
        <f t="shared" si="5"/>
        <v>254.45</v>
      </c>
      <c r="Y37" s="18"/>
    </row>
    <row r="38" spans="2:25" s="17" customFormat="1" ht="11.25">
      <c r="B38" s="16" t="s">
        <v>29</v>
      </c>
      <c r="C38" s="16">
        <v>3900</v>
      </c>
      <c r="D38" s="16">
        <v>3900</v>
      </c>
      <c r="E38" s="16">
        <v>3900</v>
      </c>
      <c r="F38" s="16">
        <v>1950</v>
      </c>
      <c r="G38" s="35">
        <f>1950+1950</f>
        <v>3900</v>
      </c>
      <c r="H38" s="16">
        <f>1950+1950</f>
        <v>3900</v>
      </c>
      <c r="I38" s="16">
        <f>1950+1950</f>
        <v>3900</v>
      </c>
      <c r="J38" s="16">
        <f>1950</f>
        <v>1950</v>
      </c>
      <c r="K38" s="16"/>
      <c r="L38" s="16"/>
      <c r="M38" s="16"/>
      <c r="N38" s="16"/>
      <c r="O38" s="16">
        <f t="shared" si="5"/>
        <v>27300</v>
      </c>
      <c r="Y38" s="18"/>
    </row>
    <row r="39" spans="2:25" s="17" customFormat="1" ht="11.25">
      <c r="B39" s="16" t="s">
        <v>31</v>
      </c>
      <c r="C39" s="16">
        <f>1740.72+220.42</f>
        <v>1961.14</v>
      </c>
      <c r="D39" s="16">
        <f>1211.74+749.4</f>
        <v>1961.1399999999999</v>
      </c>
      <c r="E39" s="16"/>
      <c r="F39" s="16">
        <f>1378.93+582.22</f>
        <v>1961.15</v>
      </c>
      <c r="G39" s="35">
        <f>1380.87+580.27</f>
        <v>1961.1399999999999</v>
      </c>
      <c r="H39" s="16"/>
      <c r="I39" s="16">
        <f>1353.45+1303.76+607.7+657.39</f>
        <v>3922.2999999999997</v>
      </c>
      <c r="J39" s="16">
        <f>1448+513.14</f>
        <v>1961.1399999999999</v>
      </c>
      <c r="K39" s="16">
        <f>1515.62+445.53</f>
        <v>1961.1499999999999</v>
      </c>
      <c r="L39" s="16">
        <v>1961.15</v>
      </c>
      <c r="M39" s="16"/>
      <c r="N39" s="16"/>
      <c r="O39" s="16">
        <f t="shared" si="5"/>
        <v>17650.309999999998</v>
      </c>
      <c r="Y39" s="18"/>
    </row>
    <row r="40" spans="2:25" s="17" customFormat="1" ht="11.25">
      <c r="B40" s="16" t="s">
        <v>30</v>
      </c>
      <c r="C40" s="16">
        <v>508.45</v>
      </c>
      <c r="D40" s="16">
        <v>508.45</v>
      </c>
      <c r="E40" s="16">
        <v>508.44</v>
      </c>
      <c r="F40" s="16">
        <v>508.44</v>
      </c>
      <c r="G40" s="35">
        <v>508.45</v>
      </c>
      <c r="H40" s="16">
        <v>508.45</v>
      </c>
      <c r="I40" s="16">
        <v>508.44</v>
      </c>
      <c r="J40" s="16">
        <v>508.44</v>
      </c>
      <c r="K40" s="16">
        <v>508.44</v>
      </c>
      <c r="L40" s="16">
        <v>508.44</v>
      </c>
      <c r="M40" s="16"/>
      <c r="N40" s="16"/>
      <c r="O40" s="16">
        <f t="shared" si="5"/>
        <v>5084.44</v>
      </c>
      <c r="Y40" s="18"/>
    </row>
    <row r="41" spans="2:25" s="17" customFormat="1" ht="11.25">
      <c r="B41" s="16" t="s">
        <v>24</v>
      </c>
      <c r="C41" s="16">
        <v>102.36</v>
      </c>
      <c r="D41" s="16">
        <v>352.48</v>
      </c>
      <c r="E41" s="16">
        <v>117.65</v>
      </c>
      <c r="F41" s="16">
        <v>401.97</v>
      </c>
      <c r="G41" s="35"/>
      <c r="H41" s="16">
        <v>201.65</v>
      </c>
      <c r="I41" s="16">
        <v>466.28</v>
      </c>
      <c r="J41" s="16">
        <v>374.82</v>
      </c>
      <c r="K41" s="16">
        <v>202.82</v>
      </c>
      <c r="L41" s="16">
        <v>479.09</v>
      </c>
      <c r="M41" s="16"/>
      <c r="N41" s="16"/>
      <c r="O41" s="16">
        <f t="shared" si="5"/>
        <v>2699.1200000000003</v>
      </c>
      <c r="Y41" s="18"/>
    </row>
    <row r="42" spans="2:25" s="17" customFormat="1" ht="11.25">
      <c r="B42" s="16" t="s">
        <v>34</v>
      </c>
      <c r="C42" s="16">
        <v>1500</v>
      </c>
      <c r="D42" s="16">
        <v>1500</v>
      </c>
      <c r="E42" s="16">
        <v>1500</v>
      </c>
      <c r="F42" s="16">
        <v>1000</v>
      </c>
      <c r="G42" s="35">
        <v>1500</v>
      </c>
      <c r="H42" s="16">
        <v>1500</v>
      </c>
      <c r="I42" s="16">
        <v>1500</v>
      </c>
      <c r="J42" s="16">
        <v>1500</v>
      </c>
      <c r="K42" s="16">
        <v>1500</v>
      </c>
      <c r="L42" s="16">
        <v>1500</v>
      </c>
      <c r="M42" s="16"/>
      <c r="N42" s="16"/>
      <c r="O42" s="16">
        <f t="shared" si="5"/>
        <v>14500</v>
      </c>
      <c r="Y42" s="18"/>
    </row>
    <row r="43" spans="2:25" s="17" customFormat="1" ht="11.25">
      <c r="B43" s="16" t="s">
        <v>35</v>
      </c>
      <c r="C43" s="16"/>
      <c r="D43" s="16"/>
      <c r="E43" s="16"/>
      <c r="F43" s="16"/>
      <c r="G43" s="35"/>
      <c r="H43" s="16">
        <f>631.79+415.86</f>
        <v>1047.65</v>
      </c>
      <c r="I43" s="16">
        <v>631.79</v>
      </c>
      <c r="J43" s="16">
        <f>631.79+71.01+16.43</f>
        <v>719.2299999999999</v>
      </c>
      <c r="K43" s="16"/>
      <c r="L43" s="16"/>
      <c r="M43" s="16"/>
      <c r="N43" s="16"/>
      <c r="O43" s="16">
        <f t="shared" si="5"/>
        <v>2398.67</v>
      </c>
      <c r="Y43" s="18"/>
    </row>
    <row r="44" spans="2:25" s="17" customFormat="1" ht="11.25">
      <c r="B44" s="16" t="s">
        <v>36</v>
      </c>
      <c r="C44" s="16"/>
      <c r="D44" s="16"/>
      <c r="E44" s="16">
        <v>10995.95</v>
      </c>
      <c r="F44" s="16"/>
      <c r="G44" s="35"/>
      <c r="H44" s="16"/>
      <c r="I44" s="16"/>
      <c r="J44" s="16"/>
      <c r="K44" s="16"/>
      <c r="L44" s="16"/>
      <c r="M44" s="16"/>
      <c r="N44" s="16"/>
      <c r="O44" s="16">
        <f t="shared" si="5"/>
        <v>10995.95</v>
      </c>
      <c r="Y44" s="18"/>
    </row>
    <row r="45" spans="2:25" s="17" customFormat="1" ht="11.25">
      <c r="B45" s="16"/>
      <c r="C45" s="16"/>
      <c r="D45" s="16"/>
      <c r="E45" s="16"/>
      <c r="F45" s="16"/>
      <c r="G45" s="35"/>
      <c r="H45" s="16"/>
      <c r="I45" s="16"/>
      <c r="J45" s="16"/>
      <c r="K45" s="16"/>
      <c r="L45" s="16"/>
      <c r="M45" s="16"/>
      <c r="N45" s="16"/>
      <c r="O45" s="16"/>
      <c r="Y45" s="18"/>
    </row>
    <row r="46" spans="2:25" s="17" customFormat="1" ht="11.25">
      <c r="B46" s="16" t="s">
        <v>107</v>
      </c>
      <c r="C46" s="16"/>
      <c r="D46" s="16"/>
      <c r="E46" s="16"/>
      <c r="F46" s="16"/>
      <c r="G46" s="35"/>
      <c r="H46" s="16"/>
      <c r="I46" s="16"/>
      <c r="J46" s="16"/>
      <c r="K46" s="16"/>
      <c r="L46" s="16"/>
      <c r="M46" s="16"/>
      <c r="N46" s="16"/>
      <c r="O46" s="16">
        <v>10817.7</v>
      </c>
      <c r="Y46" s="18"/>
    </row>
    <row r="47" spans="2:25" s="17" customFormat="1" ht="11.25">
      <c r="B47" s="16" t="s">
        <v>59</v>
      </c>
      <c r="C47" s="16"/>
      <c r="D47" s="16"/>
      <c r="E47" s="16"/>
      <c r="F47" s="16">
        <v>5850</v>
      </c>
      <c r="G47" s="35"/>
      <c r="H47" s="16"/>
      <c r="I47" s="16"/>
      <c r="J47" s="16"/>
      <c r="K47" s="16"/>
      <c r="L47" s="16"/>
      <c r="M47" s="16"/>
      <c r="N47" s="16"/>
      <c r="O47" s="16">
        <f t="shared" si="5"/>
        <v>5850</v>
      </c>
      <c r="Y47" s="18"/>
    </row>
    <row r="48" spans="2:25" s="17" customFormat="1" ht="11.25">
      <c r="B48" s="16" t="s">
        <v>58</v>
      </c>
      <c r="C48" s="16"/>
      <c r="D48" s="16"/>
      <c r="E48" s="16"/>
      <c r="F48" s="16">
        <v>3800</v>
      </c>
      <c r="G48" s="35"/>
      <c r="H48" s="16"/>
      <c r="I48" s="16"/>
      <c r="J48" s="16"/>
      <c r="K48" s="16"/>
      <c r="L48" s="16"/>
      <c r="M48" s="16"/>
      <c r="N48" s="16"/>
      <c r="O48" s="16">
        <f t="shared" si="5"/>
        <v>3800</v>
      </c>
      <c r="Y48" s="18"/>
    </row>
    <row r="49" spans="2:25" s="17" customFormat="1" ht="11.25">
      <c r="B49" s="19" t="s">
        <v>85</v>
      </c>
      <c r="C49" s="16"/>
      <c r="D49" s="16"/>
      <c r="E49" s="16"/>
      <c r="F49" s="16"/>
      <c r="G49" s="35"/>
      <c r="H49" s="16"/>
      <c r="I49" s="16">
        <v>1000</v>
      </c>
      <c r="J49" s="16"/>
      <c r="K49" s="16"/>
      <c r="L49" s="16"/>
      <c r="M49" s="16"/>
      <c r="N49" s="16"/>
      <c r="O49" s="16">
        <f t="shared" si="5"/>
        <v>1000</v>
      </c>
      <c r="Y49" s="18"/>
    </row>
    <row r="50" spans="2:25" s="17" customFormat="1" ht="11.25">
      <c r="B50" s="16" t="s">
        <v>86</v>
      </c>
      <c r="C50" s="16"/>
      <c r="D50" s="16"/>
      <c r="E50" s="16"/>
      <c r="F50" s="16"/>
      <c r="G50" s="35"/>
      <c r="H50" s="16"/>
      <c r="I50" s="16">
        <v>3500</v>
      </c>
      <c r="J50" s="16"/>
      <c r="K50" s="16"/>
      <c r="L50" s="16"/>
      <c r="M50" s="16"/>
      <c r="N50" s="16"/>
      <c r="O50" s="16">
        <f t="shared" si="5"/>
        <v>3500</v>
      </c>
      <c r="Y50" s="18"/>
    </row>
    <row r="51" spans="2:25" s="17" customFormat="1" ht="11.25">
      <c r="B51" s="16" t="s">
        <v>70</v>
      </c>
      <c r="C51" s="16"/>
      <c r="D51" s="16"/>
      <c r="E51" s="16"/>
      <c r="F51" s="16"/>
      <c r="G51" s="35"/>
      <c r="H51" s="16"/>
      <c r="I51" s="16"/>
      <c r="J51" s="16">
        <v>1264.53</v>
      </c>
      <c r="K51" s="16"/>
      <c r="L51" s="16"/>
      <c r="M51" s="16"/>
      <c r="N51" s="16"/>
      <c r="O51" s="16">
        <f t="shared" si="5"/>
        <v>1264.53</v>
      </c>
      <c r="Y51" s="18"/>
    </row>
    <row r="52" spans="2:25" s="17" customFormat="1" ht="11.25">
      <c r="B52" s="16" t="s">
        <v>87</v>
      </c>
      <c r="C52" s="16"/>
      <c r="D52" s="16"/>
      <c r="E52" s="16"/>
      <c r="F52" s="16"/>
      <c r="G52" s="35"/>
      <c r="H52" s="16"/>
      <c r="I52" s="16"/>
      <c r="J52" s="16"/>
      <c r="K52" s="16">
        <v>3500</v>
      </c>
      <c r="L52" s="16"/>
      <c r="M52" s="16"/>
      <c r="N52" s="16"/>
      <c r="O52" s="16">
        <f t="shared" si="5"/>
        <v>3500</v>
      </c>
      <c r="Y52" s="18"/>
    </row>
    <row r="53" spans="2:25" s="17" customFormat="1" ht="11.25">
      <c r="B53" s="16"/>
      <c r="C53" s="16"/>
      <c r="D53" s="16"/>
      <c r="E53" s="16"/>
      <c r="F53" s="16"/>
      <c r="G53" s="35"/>
      <c r="H53" s="16"/>
      <c r="I53" s="16"/>
      <c r="J53" s="16"/>
      <c r="K53" s="16"/>
      <c r="L53" s="16"/>
      <c r="M53" s="16"/>
      <c r="N53" s="16"/>
      <c r="O53" s="16">
        <f t="shared" si="5"/>
        <v>0</v>
      </c>
      <c r="Y53" s="18"/>
    </row>
    <row r="54" spans="2:25" s="17" customFormat="1" ht="11.25">
      <c r="B54" s="16"/>
      <c r="C54" s="16"/>
      <c r="D54" s="16"/>
      <c r="E54" s="16"/>
      <c r="F54" s="16"/>
      <c r="G54" s="35"/>
      <c r="H54" s="16"/>
      <c r="I54" s="16"/>
      <c r="J54" s="16"/>
      <c r="K54" s="16"/>
      <c r="L54" s="16"/>
      <c r="M54" s="16"/>
      <c r="N54" s="16"/>
      <c r="O54" s="16">
        <f t="shared" si="5"/>
        <v>0</v>
      </c>
      <c r="Y54" s="18"/>
    </row>
    <row r="55" spans="2:25" s="17" customFormat="1" ht="11.25">
      <c r="B55" s="15" t="s">
        <v>14</v>
      </c>
      <c r="C55" s="15">
        <f aca="true" t="shared" si="6" ref="C55:O55">SUM(C32:C54)</f>
        <v>34795.93</v>
      </c>
      <c r="D55" s="15">
        <f t="shared" si="6"/>
        <v>31539.89</v>
      </c>
      <c r="E55" s="15">
        <f t="shared" si="6"/>
        <v>43840.270000000004</v>
      </c>
      <c r="F55" s="15">
        <f t="shared" si="6"/>
        <v>34616.869999999995</v>
      </c>
      <c r="G55" s="36">
        <f t="shared" si="6"/>
        <v>34707.63</v>
      </c>
      <c r="H55" s="15">
        <f t="shared" si="6"/>
        <v>29463.140000000003</v>
      </c>
      <c r="I55" s="15">
        <f t="shared" si="6"/>
        <v>38406.02999999999</v>
      </c>
      <c r="J55" s="15">
        <f t="shared" si="6"/>
        <v>30314.869999999995</v>
      </c>
      <c r="K55" s="15">
        <f t="shared" si="6"/>
        <v>29779.12</v>
      </c>
      <c r="L55" s="15">
        <f t="shared" si="6"/>
        <v>29551.79</v>
      </c>
      <c r="M55" s="15">
        <f t="shared" si="6"/>
        <v>0</v>
      </c>
      <c r="N55" s="15">
        <f t="shared" si="6"/>
        <v>0</v>
      </c>
      <c r="O55" s="15">
        <f t="shared" si="6"/>
        <v>347833.24</v>
      </c>
      <c r="Y55" s="18"/>
    </row>
    <row r="56" ht="11.25">
      <c r="G56" s="37"/>
    </row>
    <row r="57" spans="2:15" ht="11.25">
      <c r="B57" s="20" t="s">
        <v>109</v>
      </c>
      <c r="C57" s="21">
        <f aca="true" t="shared" si="7" ref="C57:O57">C9+C24-C55</f>
        <v>-12211.309999999998</v>
      </c>
      <c r="D57" s="21">
        <f t="shared" si="7"/>
        <v>-9572.759999999995</v>
      </c>
      <c r="E57" s="21">
        <f t="shared" si="7"/>
        <v>-19214.799999999996</v>
      </c>
      <c r="F57" s="21">
        <f t="shared" si="7"/>
        <v>-15593.979999999989</v>
      </c>
      <c r="G57" s="38">
        <f t="shared" si="7"/>
        <v>-11490.599999999984</v>
      </c>
      <c r="H57" s="21">
        <f t="shared" si="7"/>
        <v>-5396.949999999986</v>
      </c>
      <c r="I57" s="21">
        <f t="shared" si="7"/>
        <v>-4564.779999999977</v>
      </c>
      <c r="J57" s="21">
        <f t="shared" si="7"/>
        <v>2071.6300000000338</v>
      </c>
      <c r="K57" s="21">
        <f t="shared" si="7"/>
        <v>10735.610000000033</v>
      </c>
      <c r="L57" s="38">
        <f t="shared" si="7"/>
        <v>17602.240000000027</v>
      </c>
      <c r="M57" s="21">
        <f t="shared" si="7"/>
        <v>17602.240000000027</v>
      </c>
      <c r="N57" s="21">
        <f t="shared" si="7"/>
        <v>17602.240000000027</v>
      </c>
      <c r="O57" s="42">
        <f t="shared" si="7"/>
        <v>4248.97000000003</v>
      </c>
    </row>
    <row r="58" spans="2:15" s="3" customFormat="1" ht="11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ht="11.25">
      <c r="B59" s="2" t="s">
        <v>21</v>
      </c>
    </row>
    <row r="60" ht="11.25">
      <c r="B60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71"/>
  <sheetViews>
    <sheetView zoomScale="90" zoomScaleNormal="90" zoomScalePageLayoutView="0" workbookViewId="0" topLeftCell="A1">
      <pane xSplit="2" ySplit="5" topLeftCell="I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44" sqref="Q44:Q45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8.62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1.25">
      <c r="B1" s="43" t="s">
        <v>105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"/>
    </row>
    <row r="2" spans="2:16" ht="11.25">
      <c r="B2" s="46" t="s">
        <v>104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</row>
    <row r="3" spans="2:15" ht="11.25">
      <c r="B3" s="46" t="s">
        <v>106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1.25">
      <c r="B4" s="46" t="s">
        <v>127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6" spans="2:15" ht="11.25">
      <c r="B6" s="5"/>
      <c r="C6" s="5"/>
      <c r="D6" s="5"/>
      <c r="E6" s="5"/>
      <c r="F6" s="5"/>
      <c r="G6" s="27"/>
      <c r="H6" s="5"/>
      <c r="I6" s="5"/>
      <c r="J6" s="5"/>
      <c r="K6" s="5"/>
      <c r="L6" s="5"/>
      <c r="M6" s="5"/>
      <c r="N6" s="5"/>
      <c r="O6" s="4"/>
    </row>
    <row r="7" spans="2:15" ht="11.25">
      <c r="B7" s="4" t="s">
        <v>39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1.25">
      <c r="B8" s="5" t="s">
        <v>13</v>
      </c>
      <c r="C8" s="5">
        <v>87275.37</v>
      </c>
      <c r="D8" s="5"/>
      <c r="E8" s="5"/>
      <c r="F8" s="5"/>
      <c r="G8" s="27"/>
      <c r="H8" s="5"/>
      <c r="I8" s="5"/>
      <c r="J8" s="5"/>
      <c r="K8" s="5"/>
      <c r="L8" s="5"/>
      <c r="M8" s="5"/>
      <c r="N8" s="5"/>
      <c r="O8" s="5">
        <f>C8+D8+E8+F8+G8+H8+I8+J8+K8+L8+M8+N8</f>
        <v>87275.37</v>
      </c>
    </row>
    <row r="9" spans="2:15" s="3" customFormat="1" ht="11.25">
      <c r="B9" s="4" t="s">
        <v>14</v>
      </c>
      <c r="C9" s="4">
        <f>C8</f>
        <v>87275.37</v>
      </c>
      <c r="D9" s="4">
        <f aca="true" t="shared" si="0" ref="D9:I9">C68</f>
        <v>91269.89</v>
      </c>
      <c r="E9" s="4">
        <f t="shared" si="0"/>
        <v>101960.29999999999</v>
      </c>
      <c r="F9" s="4">
        <f t="shared" si="0"/>
        <v>73458.2</v>
      </c>
      <c r="G9" s="28">
        <f t="shared" si="0"/>
        <v>93340.05000000002</v>
      </c>
      <c r="H9" s="4">
        <f t="shared" si="0"/>
        <v>100137.50999999998</v>
      </c>
      <c r="I9" s="4">
        <f t="shared" si="0"/>
        <v>116217.26999999999</v>
      </c>
      <c r="J9" s="4">
        <f>I68</f>
        <v>125860.5</v>
      </c>
      <c r="K9" s="4">
        <f>J68</f>
        <v>35426.46999999997</v>
      </c>
      <c r="L9" s="4">
        <f>K68</f>
        <v>44382.229999999974</v>
      </c>
      <c r="M9" s="4">
        <f>L68</f>
        <v>72304.33999999998</v>
      </c>
      <c r="N9" s="4">
        <f>M68</f>
        <v>41196.86999999998</v>
      </c>
      <c r="O9" s="4">
        <f>O8</f>
        <v>87275.37</v>
      </c>
    </row>
    <row r="10" spans="2:15" ht="11.25">
      <c r="B10" s="5"/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1.25">
      <c r="B11" s="5"/>
      <c r="C11" s="5"/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4"/>
    </row>
    <row r="12" spans="2:25" s="10" customFormat="1" ht="11.25">
      <c r="B12" s="8" t="s">
        <v>15</v>
      </c>
      <c r="C12" s="9"/>
      <c r="D12" s="9"/>
      <c r="E12" s="9"/>
      <c r="F12" s="9"/>
      <c r="G12" s="29"/>
      <c r="H12" s="9"/>
      <c r="I12" s="9"/>
      <c r="J12" s="9"/>
      <c r="K12" s="9"/>
      <c r="L12" s="9"/>
      <c r="M12" s="9"/>
      <c r="N12" s="9"/>
      <c r="O12" s="8"/>
      <c r="Y12" s="11"/>
    </row>
    <row r="13" spans="2:25" s="10" customFormat="1" ht="11.25">
      <c r="B13" s="9" t="s">
        <v>13</v>
      </c>
      <c r="C13" s="9">
        <v>85616.25</v>
      </c>
      <c r="D13" s="9">
        <v>85616.25</v>
      </c>
      <c r="E13" s="9">
        <v>85616.25</v>
      </c>
      <c r="F13" s="9">
        <v>85616.25</v>
      </c>
      <c r="G13" s="9">
        <v>85616.25</v>
      </c>
      <c r="H13" s="9">
        <v>85616.25</v>
      </c>
      <c r="I13" s="9">
        <v>85616.25</v>
      </c>
      <c r="J13" s="9">
        <v>85616.25</v>
      </c>
      <c r="K13" s="9">
        <v>85616.25</v>
      </c>
      <c r="L13" s="9">
        <v>82225.18</v>
      </c>
      <c r="M13" s="9">
        <v>82225.18</v>
      </c>
      <c r="N13" s="9"/>
      <c r="O13" s="9">
        <f>C13+D13+E13+F13+G13+H13+I13+J13+K13+L13+M13+N13</f>
        <v>934996.6099999999</v>
      </c>
      <c r="Y13" s="11"/>
    </row>
    <row r="14" spans="2:25" s="10" customFormat="1" ht="11.25">
      <c r="B14" s="9" t="s">
        <v>33</v>
      </c>
      <c r="C14" s="9"/>
      <c r="D14" s="9"/>
      <c r="E14" s="9"/>
      <c r="F14" s="9"/>
      <c r="G14" s="29"/>
      <c r="H14" s="9"/>
      <c r="I14" s="9"/>
      <c r="J14" s="9"/>
      <c r="K14" s="9"/>
      <c r="L14" s="9">
        <v>5002.68</v>
      </c>
      <c r="M14" s="9">
        <v>5002.68</v>
      </c>
      <c r="N14" s="9"/>
      <c r="O14" s="9">
        <f>C14+D14+E14+F14+G14+H14+I14+J14+K14+L14+M14+N14</f>
        <v>10005.36</v>
      </c>
      <c r="Y14" s="11"/>
    </row>
    <row r="15" spans="2:25" s="10" customFormat="1" ht="11.25">
      <c r="B15" s="16" t="s">
        <v>25</v>
      </c>
      <c r="C15" s="9"/>
      <c r="D15" s="9"/>
      <c r="E15" s="9"/>
      <c r="F15" s="9"/>
      <c r="G15" s="29"/>
      <c r="H15" s="9"/>
      <c r="I15" s="9"/>
      <c r="J15" s="9"/>
      <c r="K15" s="9"/>
      <c r="L15" s="9"/>
      <c r="M15" s="9"/>
      <c r="N15" s="9"/>
      <c r="O15" s="9">
        <f>C15+D15+E15+F15+G15+H15+I15+J15+K15+L15+M15+N15</f>
        <v>0</v>
      </c>
      <c r="Y15" s="11"/>
    </row>
    <row r="16" spans="2:25" s="10" customFormat="1" ht="11.25">
      <c r="B16" s="16"/>
      <c r="C16" s="9"/>
      <c r="D16" s="9"/>
      <c r="E16" s="9"/>
      <c r="F16" s="9"/>
      <c r="G16" s="29"/>
      <c r="H16" s="9"/>
      <c r="I16" s="9"/>
      <c r="J16" s="9"/>
      <c r="K16" s="9"/>
      <c r="L16" s="9"/>
      <c r="M16" s="9"/>
      <c r="N16" s="9"/>
      <c r="O16" s="9"/>
      <c r="Y16" s="11"/>
    </row>
    <row r="17" spans="2:15" s="11" customFormat="1" ht="11.25">
      <c r="B17" s="8" t="s">
        <v>14</v>
      </c>
      <c r="C17" s="8">
        <f aca="true" t="shared" si="1" ref="C17:N17">SUM(C11:C15)</f>
        <v>85616.25</v>
      </c>
      <c r="D17" s="8">
        <f t="shared" si="1"/>
        <v>85616.25</v>
      </c>
      <c r="E17" s="8">
        <f t="shared" si="1"/>
        <v>85616.25</v>
      </c>
      <c r="F17" s="8">
        <f t="shared" si="1"/>
        <v>85616.25</v>
      </c>
      <c r="G17" s="30">
        <f t="shared" si="1"/>
        <v>85616.25</v>
      </c>
      <c r="H17" s="8">
        <f t="shared" si="1"/>
        <v>85616.25</v>
      </c>
      <c r="I17" s="8">
        <f t="shared" si="1"/>
        <v>85616.25</v>
      </c>
      <c r="J17" s="8">
        <f t="shared" si="1"/>
        <v>85616.25</v>
      </c>
      <c r="K17" s="8">
        <f t="shared" si="1"/>
        <v>85616.25</v>
      </c>
      <c r="L17" s="8">
        <f t="shared" si="1"/>
        <v>87227.85999999999</v>
      </c>
      <c r="M17" s="8">
        <f t="shared" si="1"/>
        <v>87227.85999999999</v>
      </c>
      <c r="N17" s="8">
        <f t="shared" si="1"/>
        <v>0</v>
      </c>
      <c r="O17" s="8">
        <f>C17+D17+E17+F17+G17+H17+I17+J17+K17+L17+M17+N17</f>
        <v>945001.97</v>
      </c>
    </row>
    <row r="18" spans="2:15" ht="11.25">
      <c r="B18" s="5"/>
      <c r="C18" s="5"/>
      <c r="D18" s="5"/>
      <c r="E18" s="5"/>
      <c r="F18" s="5"/>
      <c r="G18" s="27"/>
      <c r="H18" s="5"/>
      <c r="I18" s="5"/>
      <c r="J18" s="5"/>
      <c r="K18" s="5"/>
      <c r="L18" s="5"/>
      <c r="M18" s="5"/>
      <c r="N18" s="5"/>
      <c r="O18" s="4"/>
    </row>
    <row r="19" spans="2:25" s="25" customFormat="1" ht="11.25">
      <c r="B19" s="23" t="s">
        <v>16</v>
      </c>
      <c r="C19" s="24"/>
      <c r="D19" s="24"/>
      <c r="E19" s="24"/>
      <c r="F19" s="24"/>
      <c r="G19" s="31"/>
      <c r="H19" s="24"/>
      <c r="I19" s="24"/>
      <c r="J19" s="24"/>
      <c r="K19" s="24"/>
      <c r="L19" s="24"/>
      <c r="M19" s="24"/>
      <c r="N19" s="24"/>
      <c r="O19" s="23"/>
      <c r="Y19" s="26"/>
    </row>
    <row r="20" spans="2:25" s="25" customFormat="1" ht="11.25">
      <c r="B20" s="24" t="s">
        <v>13</v>
      </c>
      <c r="C20" s="24">
        <v>69675.25</v>
      </c>
      <c r="D20" s="24">
        <v>81227.89</v>
      </c>
      <c r="E20" s="24">
        <v>67455.72</v>
      </c>
      <c r="F20" s="24">
        <v>84951</v>
      </c>
      <c r="G20" s="31">
        <v>84640.64</v>
      </c>
      <c r="H20" s="24">
        <v>90406.05</v>
      </c>
      <c r="I20" s="24">
        <v>85757.79</v>
      </c>
      <c r="J20" s="24">
        <f>75879.51-4868.1</f>
        <v>71011.40999999999</v>
      </c>
      <c r="K20" s="24">
        <v>68900.84</v>
      </c>
      <c r="L20" s="24">
        <v>101168</v>
      </c>
      <c r="M20" s="24"/>
      <c r="N20" s="24"/>
      <c r="O20" s="24">
        <f>C20+D20+E20+F20+G20+H20+I20+J20+K20+L20+M20+N20-5860.21</f>
        <v>799334.38</v>
      </c>
      <c r="Y20" s="26"/>
    </row>
    <row r="21" spans="2:25" s="25" customFormat="1" ht="11.25">
      <c r="B21" s="9" t="s">
        <v>33</v>
      </c>
      <c r="C21" s="24"/>
      <c r="D21" s="24"/>
      <c r="E21" s="24"/>
      <c r="F21" s="24"/>
      <c r="G21" s="31"/>
      <c r="H21" s="24"/>
      <c r="I21" s="24"/>
      <c r="J21" s="24"/>
      <c r="K21" s="24"/>
      <c r="L21" s="24"/>
      <c r="M21" s="24"/>
      <c r="N21" s="24"/>
      <c r="O21" s="24">
        <f>C21+D21+E21+F21+G21+H21+I21+J21+K21+L21+M21+N21</f>
        <v>0</v>
      </c>
      <c r="Y21" s="26"/>
    </row>
    <row r="22" spans="2:25" s="25" customFormat="1" ht="11.25">
      <c r="B22" s="16" t="s">
        <v>25</v>
      </c>
      <c r="C22" s="24"/>
      <c r="D22" s="24"/>
      <c r="E22" s="24"/>
      <c r="F22" s="24"/>
      <c r="G22" s="31"/>
      <c r="H22" s="24"/>
      <c r="I22" s="24"/>
      <c r="J22" s="24"/>
      <c r="K22" s="24"/>
      <c r="L22" s="24"/>
      <c r="M22" s="24"/>
      <c r="N22" s="24"/>
      <c r="O22" s="24">
        <f>C22+D22+E22+F22+G22+H22+I22+J22+K22+L22+M22+N22</f>
        <v>0</v>
      </c>
      <c r="Y22" s="26"/>
    </row>
    <row r="23" spans="2:25" s="25" customFormat="1" ht="11.25">
      <c r="B23" s="16"/>
      <c r="C23" s="24"/>
      <c r="D23" s="24"/>
      <c r="E23" s="24"/>
      <c r="F23" s="24"/>
      <c r="G23" s="31"/>
      <c r="H23" s="24"/>
      <c r="I23" s="24"/>
      <c r="J23" s="24"/>
      <c r="K23" s="24"/>
      <c r="L23" s="24"/>
      <c r="M23" s="24"/>
      <c r="N23" s="24"/>
      <c r="O23" s="24"/>
      <c r="Y23" s="26"/>
    </row>
    <row r="24" spans="2:15" s="26" customFormat="1" ht="11.25">
      <c r="B24" s="23" t="s">
        <v>14</v>
      </c>
      <c r="C24" s="23">
        <f aca="true" t="shared" si="2" ref="C24:O24">SUM(C20:C23)</f>
        <v>69675.25</v>
      </c>
      <c r="D24" s="23">
        <f t="shared" si="2"/>
        <v>81227.89</v>
      </c>
      <c r="E24" s="23">
        <f t="shared" si="2"/>
        <v>67455.72</v>
      </c>
      <c r="F24" s="23">
        <f t="shared" si="2"/>
        <v>84951</v>
      </c>
      <c r="G24" s="32">
        <f t="shared" si="2"/>
        <v>84640.64</v>
      </c>
      <c r="H24" s="23">
        <f t="shared" si="2"/>
        <v>90406.05</v>
      </c>
      <c r="I24" s="23">
        <f t="shared" si="2"/>
        <v>85757.79</v>
      </c>
      <c r="J24" s="23">
        <f t="shared" si="2"/>
        <v>71011.40999999999</v>
      </c>
      <c r="K24" s="23">
        <f t="shared" si="2"/>
        <v>68900.84</v>
      </c>
      <c r="L24" s="23">
        <f t="shared" si="2"/>
        <v>101168</v>
      </c>
      <c r="M24" s="23">
        <f t="shared" si="2"/>
        <v>0</v>
      </c>
      <c r="N24" s="23">
        <f t="shared" si="2"/>
        <v>0</v>
      </c>
      <c r="O24" s="23">
        <f t="shared" si="2"/>
        <v>799334.38</v>
      </c>
    </row>
    <row r="25" spans="2:15" ht="11.25">
      <c r="B25" s="5"/>
      <c r="C25" s="5"/>
      <c r="D25" s="5"/>
      <c r="E25" s="5"/>
      <c r="F25" s="5"/>
      <c r="G25" s="27"/>
      <c r="H25" s="5"/>
      <c r="I25" s="5"/>
      <c r="J25" s="5"/>
      <c r="K25" s="5"/>
      <c r="L25" s="5"/>
      <c r="M25" s="5"/>
      <c r="N25" s="5"/>
      <c r="O25" s="4"/>
    </row>
    <row r="26" spans="2:15" ht="11.25">
      <c r="B26" s="4" t="s">
        <v>17</v>
      </c>
      <c r="C26" s="12">
        <f aca="true" t="shared" si="3" ref="C26:O26">C24/C17</f>
        <v>0.8138087103791628</v>
      </c>
      <c r="D26" s="12">
        <f t="shared" si="3"/>
        <v>0.9487438424364534</v>
      </c>
      <c r="E26" s="12">
        <f t="shared" si="3"/>
        <v>0.7878845429459945</v>
      </c>
      <c r="F26" s="12">
        <f t="shared" si="3"/>
        <v>0.9922298629056984</v>
      </c>
      <c r="G26" s="33">
        <f t="shared" si="3"/>
        <v>0.9886048501306702</v>
      </c>
      <c r="H26" s="12">
        <f t="shared" si="3"/>
        <v>1.0559449870789717</v>
      </c>
      <c r="I26" s="12">
        <f t="shared" si="3"/>
        <v>1.0016531908370199</v>
      </c>
      <c r="J26" s="12">
        <f t="shared" si="3"/>
        <v>0.8294150935132056</v>
      </c>
      <c r="K26" s="12">
        <f t="shared" si="3"/>
        <v>0.8047635816798796</v>
      </c>
      <c r="L26" s="12">
        <f t="shared" si="3"/>
        <v>1.159812931327216</v>
      </c>
      <c r="M26" s="12">
        <f t="shared" si="3"/>
        <v>0</v>
      </c>
      <c r="N26" s="12" t="e">
        <f t="shared" si="3"/>
        <v>#DIV/0!</v>
      </c>
      <c r="O26" s="13">
        <f t="shared" si="3"/>
        <v>0.8458547234562909</v>
      </c>
    </row>
    <row r="27" spans="2:15" ht="11.25">
      <c r="B27" s="4"/>
      <c r="C27" s="12"/>
      <c r="D27" s="12"/>
      <c r="E27" s="12"/>
      <c r="F27" s="12"/>
      <c r="G27" s="33"/>
      <c r="H27" s="12"/>
      <c r="I27" s="12"/>
      <c r="J27" s="12"/>
      <c r="K27" s="12"/>
      <c r="L27" s="12"/>
      <c r="M27" s="12"/>
      <c r="N27" s="12"/>
      <c r="O27" s="14"/>
    </row>
    <row r="28" spans="2:15" ht="11.25">
      <c r="B28" s="4" t="s">
        <v>18</v>
      </c>
      <c r="C28" s="7">
        <f aca="true" t="shared" si="4" ref="C28:O28">C17-C24</f>
        <v>15941</v>
      </c>
      <c r="D28" s="7">
        <f t="shared" si="4"/>
        <v>4388.360000000001</v>
      </c>
      <c r="E28" s="7">
        <f t="shared" si="4"/>
        <v>18160.53</v>
      </c>
      <c r="F28" s="7">
        <f t="shared" si="4"/>
        <v>665.25</v>
      </c>
      <c r="G28" s="34">
        <f t="shared" si="4"/>
        <v>975.6100000000006</v>
      </c>
      <c r="H28" s="7">
        <f t="shared" si="4"/>
        <v>-4789.800000000003</v>
      </c>
      <c r="I28" s="7">
        <f t="shared" si="4"/>
        <v>-141.5399999999936</v>
      </c>
      <c r="J28" s="7">
        <f t="shared" si="4"/>
        <v>14604.840000000011</v>
      </c>
      <c r="K28" s="7">
        <f t="shared" si="4"/>
        <v>16715.410000000003</v>
      </c>
      <c r="L28" s="7">
        <f t="shared" si="4"/>
        <v>-13940.140000000014</v>
      </c>
      <c r="M28" s="7">
        <f t="shared" si="4"/>
        <v>87227.85999999999</v>
      </c>
      <c r="N28" s="7">
        <f t="shared" si="4"/>
        <v>0</v>
      </c>
      <c r="O28" s="7">
        <f t="shared" si="4"/>
        <v>145667.58999999997</v>
      </c>
    </row>
    <row r="29" spans="2:15" ht="11.25">
      <c r="B29" s="5"/>
      <c r="C29" s="5"/>
      <c r="D29" s="5"/>
      <c r="E29" s="5"/>
      <c r="F29" s="5"/>
      <c r="G29" s="27"/>
      <c r="H29" s="5"/>
      <c r="I29" s="5"/>
      <c r="J29" s="5"/>
      <c r="K29" s="5"/>
      <c r="L29" s="5"/>
      <c r="M29" s="5"/>
      <c r="N29" s="5"/>
      <c r="O29" s="4"/>
    </row>
    <row r="30" spans="2:25" s="17" customFormat="1" ht="11.25">
      <c r="B30" s="15" t="s">
        <v>19</v>
      </c>
      <c r="C30" s="16"/>
      <c r="D30" s="16"/>
      <c r="E30" s="16"/>
      <c r="F30" s="16"/>
      <c r="G30" s="35"/>
      <c r="H30" s="16"/>
      <c r="I30" s="16"/>
      <c r="J30" s="16"/>
      <c r="K30" s="16"/>
      <c r="L30" s="16"/>
      <c r="M30" s="16"/>
      <c r="N30" s="16"/>
      <c r="O30" s="15"/>
      <c r="Y30" s="18"/>
    </row>
    <row r="31" spans="2:25" s="17" customFormat="1" ht="11.25">
      <c r="B31" s="16"/>
      <c r="C31" s="16"/>
      <c r="D31" s="16"/>
      <c r="E31" s="16"/>
      <c r="F31" s="16"/>
      <c r="G31" s="35"/>
      <c r="H31" s="16"/>
      <c r="I31" s="16"/>
      <c r="J31" s="16"/>
      <c r="K31" s="16"/>
      <c r="L31" s="16"/>
      <c r="M31" s="16"/>
      <c r="N31" s="16"/>
      <c r="O31" s="15"/>
      <c r="Y31" s="18"/>
    </row>
    <row r="32" spans="2:25" s="17" customFormat="1" ht="11.25">
      <c r="B32" s="16" t="s">
        <v>20</v>
      </c>
      <c r="C32" s="16">
        <v>111.09</v>
      </c>
      <c r="D32" s="16">
        <v>288.69</v>
      </c>
      <c r="E32" s="16">
        <v>397.39</v>
      </c>
      <c r="F32" s="16">
        <v>402.63</v>
      </c>
      <c r="G32" s="35">
        <v>653.08</v>
      </c>
      <c r="H32" s="16">
        <v>715.09</v>
      </c>
      <c r="I32" s="16">
        <v>437.1</v>
      </c>
      <c r="J32" s="16">
        <v>301.53</v>
      </c>
      <c r="K32" s="16">
        <v>336.53</v>
      </c>
      <c r="L32" s="16">
        <v>818.28</v>
      </c>
      <c r="M32" s="16">
        <v>143.18</v>
      </c>
      <c r="N32" s="16"/>
      <c r="O32" s="16">
        <f>C32+D32+E32+F32+G32+H32+I32+J32+K32+L32+M32+N32</f>
        <v>4604.59</v>
      </c>
      <c r="Y32" s="18"/>
    </row>
    <row r="33" spans="2:25" s="17" customFormat="1" ht="11.25">
      <c r="B33" s="16" t="s">
        <v>32</v>
      </c>
      <c r="C33" s="16">
        <f>25987.05+635.35</f>
        <v>26622.399999999998</v>
      </c>
      <c r="D33" s="16">
        <f>25351.7+1732.03</f>
        <v>27083.73</v>
      </c>
      <c r="E33" s="16">
        <v>25987.05</v>
      </c>
      <c r="F33" s="16">
        <v>25987.02</v>
      </c>
      <c r="G33" s="35">
        <v>25987.05</v>
      </c>
      <c r="H33" s="16">
        <v>25987.05</v>
      </c>
      <c r="I33" s="16">
        <v>25987.05</v>
      </c>
      <c r="J33" s="16">
        <v>25987.05</v>
      </c>
      <c r="K33" s="16">
        <v>25987.05</v>
      </c>
      <c r="L33" s="16">
        <v>25987.05</v>
      </c>
      <c r="M33" s="16">
        <v>25987.05</v>
      </c>
      <c r="N33" s="16"/>
      <c r="O33" s="16">
        <f aca="true" t="shared" si="5" ref="O33:O65">C33+D33+E33+F33+G33+H33+I33+J33+K33+L33+M33+N33</f>
        <v>287589.54999999993</v>
      </c>
      <c r="Y33" s="18"/>
    </row>
    <row r="34" spans="2:25" s="17" customFormat="1" ht="11.25">
      <c r="B34" s="16" t="s">
        <v>26</v>
      </c>
      <c r="C34" s="16">
        <f>4975.65+2132.84</f>
        <v>7108.49</v>
      </c>
      <c r="D34" s="16">
        <f>7655.55+2584.82</f>
        <v>10240.37</v>
      </c>
      <c r="E34" s="16">
        <f>7655.55+2584.82</f>
        <v>10240.37</v>
      </c>
      <c r="F34" s="16">
        <f>3351.29+3812.1+2584.82</f>
        <v>9748.21</v>
      </c>
      <c r="G34" s="35">
        <f>3843.45+7655.55</f>
        <v>11499</v>
      </c>
      <c r="H34" s="16">
        <f>7655.55+2584.82</f>
        <v>10240.37</v>
      </c>
      <c r="I34" s="16">
        <f>7655.55+2584.82</f>
        <v>10240.37</v>
      </c>
      <c r="J34" s="16">
        <f>2584.82+7655.55</f>
        <v>10240.37</v>
      </c>
      <c r="K34" s="16">
        <f>7655.55+2584.82</f>
        <v>10240.37</v>
      </c>
      <c r="L34" s="16">
        <f>7655.55+2584.82</f>
        <v>10240.37</v>
      </c>
      <c r="M34" s="16"/>
      <c r="N34" s="16"/>
      <c r="O34" s="16">
        <f t="shared" si="5"/>
        <v>100038.29</v>
      </c>
      <c r="Y34" s="18"/>
    </row>
    <row r="35" spans="2:25" s="17" customFormat="1" ht="11.25">
      <c r="B35" s="16" t="s">
        <v>27</v>
      </c>
      <c r="C35" s="16">
        <f>1907.57+12246.28</f>
        <v>14153.85</v>
      </c>
      <c r="D35" s="16">
        <f>1270.7+12246.28</f>
        <v>13516.980000000001</v>
      </c>
      <c r="E35" s="16">
        <v>12246.28</v>
      </c>
      <c r="F35" s="16">
        <v>3812.1</v>
      </c>
      <c r="G35" s="35">
        <f>8434.18+6353.5+2584.82</f>
        <v>17372.5</v>
      </c>
      <c r="H35" s="16">
        <f>5892.78+6353.5</f>
        <v>12246.279999999999</v>
      </c>
      <c r="I35" s="16">
        <f>5892.78+6353.5</f>
        <v>12246.279999999999</v>
      </c>
      <c r="J35" s="16">
        <f>13625.22+308.41</f>
        <v>13933.63</v>
      </c>
      <c r="K35" s="16">
        <f>13625.22+308.41</f>
        <v>13933.63</v>
      </c>
      <c r="L35" s="16">
        <f>13625.22+308.41+5892.78</f>
        <v>19826.41</v>
      </c>
      <c r="M35" s="16"/>
      <c r="N35" s="16"/>
      <c r="O35" s="16">
        <f t="shared" si="5"/>
        <v>133287.94</v>
      </c>
      <c r="Y35" s="18"/>
    </row>
    <row r="36" spans="2:25" s="17" customFormat="1" ht="11.25">
      <c r="B36" s="16" t="s">
        <v>23</v>
      </c>
      <c r="C36" s="16">
        <v>837.84</v>
      </c>
      <c r="D36" s="16">
        <v>2310.54</v>
      </c>
      <c r="E36" s="16">
        <v>12343.04</v>
      </c>
      <c r="F36" s="16">
        <v>-461.72</v>
      </c>
      <c r="G36" s="35">
        <v>5660.47</v>
      </c>
      <c r="H36" s="16">
        <v>1426.08</v>
      </c>
      <c r="I36" s="16">
        <v>2000</v>
      </c>
      <c r="J36" s="16">
        <v>5000</v>
      </c>
      <c r="K36" s="16"/>
      <c r="L36" s="16"/>
      <c r="M36" s="16"/>
      <c r="N36" s="16"/>
      <c r="O36" s="16">
        <f t="shared" si="5"/>
        <v>29116.25</v>
      </c>
      <c r="Y36" s="18"/>
    </row>
    <row r="37" spans="2:25" s="17" customFormat="1" ht="11.25">
      <c r="B37" s="19" t="s">
        <v>28</v>
      </c>
      <c r="C37" s="16">
        <v>73.62</v>
      </c>
      <c r="D37" s="16">
        <v>73.62</v>
      </c>
      <c r="E37" s="16">
        <v>73.62</v>
      </c>
      <c r="F37" s="16">
        <v>73.62</v>
      </c>
      <c r="G37" s="35"/>
      <c r="H37" s="16"/>
      <c r="I37" s="16">
        <v>73.62</v>
      </c>
      <c r="J37" s="16">
        <v>73.62</v>
      </c>
      <c r="K37" s="16">
        <v>73.62</v>
      </c>
      <c r="L37" s="16">
        <v>73.62</v>
      </c>
      <c r="M37" s="16">
        <v>73.62</v>
      </c>
      <c r="N37" s="16"/>
      <c r="O37" s="16">
        <f t="shared" si="5"/>
        <v>662.58</v>
      </c>
      <c r="Y37" s="18"/>
    </row>
    <row r="38" spans="2:25" s="17" customFormat="1" ht="11.25">
      <c r="B38" s="16" t="s">
        <v>29</v>
      </c>
      <c r="C38" s="16">
        <v>4500</v>
      </c>
      <c r="D38" s="16">
        <v>4500</v>
      </c>
      <c r="E38" s="16">
        <v>4500</v>
      </c>
      <c r="F38" s="16">
        <v>2250</v>
      </c>
      <c r="G38" s="35">
        <f>2250+2250</f>
        <v>4500</v>
      </c>
      <c r="H38" s="16">
        <f>2250+2250</f>
        <v>4500</v>
      </c>
      <c r="I38" s="16">
        <f>2250+2250</f>
        <v>4500</v>
      </c>
      <c r="J38" s="16">
        <f>2250</f>
        <v>2250</v>
      </c>
      <c r="K38" s="16"/>
      <c r="L38" s="16"/>
      <c r="M38" s="16"/>
      <c r="N38" s="16"/>
      <c r="O38" s="16">
        <f t="shared" si="5"/>
        <v>31500</v>
      </c>
      <c r="Y38" s="18"/>
    </row>
    <row r="39" spans="2:25" s="17" customFormat="1" ht="11.25">
      <c r="B39" s="16" t="s">
        <v>25</v>
      </c>
      <c r="C39" s="16">
        <v>3000</v>
      </c>
      <c r="D39" s="16">
        <v>3000</v>
      </c>
      <c r="E39" s="16"/>
      <c r="F39" s="16">
        <v>6000</v>
      </c>
      <c r="G39" s="35">
        <v>3000</v>
      </c>
      <c r="H39" s="16">
        <v>3000</v>
      </c>
      <c r="I39" s="16">
        <v>3000</v>
      </c>
      <c r="J39" s="16"/>
      <c r="K39" s="16"/>
      <c r="L39" s="16">
        <v>6000</v>
      </c>
      <c r="M39" s="16"/>
      <c r="N39" s="16"/>
      <c r="O39" s="16">
        <f t="shared" si="5"/>
        <v>27000</v>
      </c>
      <c r="Y39" s="18"/>
    </row>
    <row r="40" spans="2:25" s="17" customFormat="1" ht="11.25">
      <c r="B40" s="16" t="s">
        <v>31</v>
      </c>
      <c r="C40" s="16">
        <f>4023.18+509.45</f>
        <v>4532.63</v>
      </c>
      <c r="D40" s="16">
        <f>2800.6+1732.03</f>
        <v>4532.63</v>
      </c>
      <c r="E40" s="16"/>
      <c r="F40" s="16">
        <f>3187+1345.63</f>
        <v>4532.63</v>
      </c>
      <c r="G40" s="35">
        <f>3191.49+1341.14</f>
        <v>4532.63</v>
      </c>
      <c r="H40" s="16"/>
      <c r="I40" s="16">
        <f>3128.1+3013.26+1404.52+1519.36</f>
        <v>9065.240000000002</v>
      </c>
      <c r="J40" s="16">
        <f>3346.65+1185.98</f>
        <v>4532.63</v>
      </c>
      <c r="K40" s="16">
        <f>3502.92+1029.71</f>
        <v>4532.63</v>
      </c>
      <c r="L40" s="16">
        <v>4532.63</v>
      </c>
      <c r="M40" s="16"/>
      <c r="N40" s="16"/>
      <c r="O40" s="16">
        <f t="shared" si="5"/>
        <v>40793.65</v>
      </c>
      <c r="Y40" s="18"/>
    </row>
    <row r="41" spans="2:25" s="17" customFormat="1" ht="11.25">
      <c r="B41" s="16" t="s">
        <v>30</v>
      </c>
      <c r="C41" s="16">
        <v>1175.13</v>
      </c>
      <c r="D41" s="16">
        <v>1175.13</v>
      </c>
      <c r="E41" s="16">
        <v>1175.12</v>
      </c>
      <c r="F41" s="16">
        <v>1175.12</v>
      </c>
      <c r="G41" s="35">
        <v>1175.13</v>
      </c>
      <c r="H41" s="16">
        <v>1175.13</v>
      </c>
      <c r="I41" s="16">
        <v>1175.12</v>
      </c>
      <c r="J41" s="16">
        <v>1175.12</v>
      </c>
      <c r="K41" s="16">
        <v>1175.12</v>
      </c>
      <c r="L41" s="16">
        <v>1175.12</v>
      </c>
      <c r="M41" s="16">
        <v>1175.12</v>
      </c>
      <c r="N41" s="16"/>
      <c r="O41" s="16">
        <f t="shared" si="5"/>
        <v>12926.359999999997</v>
      </c>
      <c r="Y41" s="18"/>
    </row>
    <row r="42" spans="2:25" s="17" customFormat="1" ht="11.25">
      <c r="B42" s="16" t="s">
        <v>24</v>
      </c>
      <c r="C42" s="16">
        <v>102.36</v>
      </c>
      <c r="D42" s="16">
        <v>352.48</v>
      </c>
      <c r="E42" s="16">
        <v>117.65</v>
      </c>
      <c r="F42" s="16">
        <v>401.97</v>
      </c>
      <c r="G42" s="35"/>
      <c r="H42" s="16">
        <v>201.65</v>
      </c>
      <c r="I42" s="16">
        <v>466.28</v>
      </c>
      <c r="J42" s="16">
        <v>374.82</v>
      </c>
      <c r="K42" s="16">
        <v>202.82</v>
      </c>
      <c r="L42" s="16">
        <v>479.09</v>
      </c>
      <c r="M42" s="16">
        <v>265.18</v>
      </c>
      <c r="N42" s="16"/>
      <c r="O42" s="16">
        <f t="shared" si="5"/>
        <v>2964.3</v>
      </c>
      <c r="Y42" s="18"/>
    </row>
    <row r="43" spans="2:25" s="17" customFormat="1" ht="11.25">
      <c r="B43" s="16" t="s">
        <v>34</v>
      </c>
      <c r="C43" s="16">
        <v>3463.32</v>
      </c>
      <c r="D43" s="16">
        <v>3463.31</v>
      </c>
      <c r="E43" s="16">
        <v>3463.32</v>
      </c>
      <c r="F43" s="16">
        <v>3463.32</v>
      </c>
      <c r="G43" s="35">
        <v>3463.32</v>
      </c>
      <c r="H43" s="16">
        <v>3463.32</v>
      </c>
      <c r="I43" s="16">
        <v>3463.31</v>
      </c>
      <c r="J43" s="16">
        <v>3463.31</v>
      </c>
      <c r="K43" s="16">
        <v>3463.31</v>
      </c>
      <c r="L43" s="16">
        <v>3463.32</v>
      </c>
      <c r="M43" s="16">
        <v>3463.32</v>
      </c>
      <c r="N43" s="16"/>
      <c r="O43" s="16">
        <f t="shared" si="5"/>
        <v>38096.48</v>
      </c>
      <c r="Y43" s="18"/>
    </row>
    <row r="44" spans="2:25" s="17" customFormat="1" ht="11.25">
      <c r="B44" s="16" t="s">
        <v>35</v>
      </c>
      <c r="C44" s="16"/>
      <c r="D44" s="16"/>
      <c r="E44" s="16"/>
      <c r="F44" s="16"/>
      <c r="G44" s="35"/>
      <c r="H44" s="16">
        <f>1460.19+961.13</f>
        <v>2421.32</v>
      </c>
      <c r="I44" s="16">
        <f>1460.19</f>
        <v>1460.19</v>
      </c>
      <c r="J44" s="16">
        <f>1460.19+164.13+16.43</f>
        <v>1640.7500000000002</v>
      </c>
      <c r="K44" s="16"/>
      <c r="L44" s="16"/>
      <c r="M44" s="16"/>
      <c r="N44" s="16"/>
      <c r="O44" s="16">
        <f t="shared" si="5"/>
        <v>5522.26</v>
      </c>
      <c r="Y44" s="18"/>
    </row>
    <row r="45" spans="2:25" s="17" customFormat="1" ht="11.25">
      <c r="B45" s="16" t="s">
        <v>36</v>
      </c>
      <c r="C45" s="16"/>
      <c r="D45" s="16"/>
      <c r="E45" s="16">
        <v>25413.98</v>
      </c>
      <c r="F45" s="16"/>
      <c r="G45" s="35"/>
      <c r="H45" s="16"/>
      <c r="I45" s="16"/>
      <c r="J45" s="16"/>
      <c r="K45" s="16"/>
      <c r="L45" s="16"/>
      <c r="M45" s="16"/>
      <c r="N45" s="16"/>
      <c r="O45" s="16">
        <f t="shared" si="5"/>
        <v>25413.98</v>
      </c>
      <c r="Y45" s="18"/>
    </row>
    <row r="46" spans="2:25" s="17" customFormat="1" ht="11.25">
      <c r="B46" s="16"/>
      <c r="C46" s="16"/>
      <c r="D46" s="16"/>
      <c r="E46" s="16"/>
      <c r="F46" s="16"/>
      <c r="G46" s="35"/>
      <c r="H46" s="16"/>
      <c r="I46" s="16"/>
      <c r="J46" s="16"/>
      <c r="K46" s="16"/>
      <c r="L46" s="16"/>
      <c r="M46" s="16"/>
      <c r="N46" s="16"/>
      <c r="O46" s="16"/>
      <c r="Y46" s="18"/>
    </row>
    <row r="47" spans="2:25" s="17" customFormat="1" ht="11.25">
      <c r="B47" s="16" t="s">
        <v>107</v>
      </c>
      <c r="C47" s="16"/>
      <c r="D47" s="16"/>
      <c r="E47" s="16"/>
      <c r="F47" s="16"/>
      <c r="G47" s="35"/>
      <c r="H47" s="16"/>
      <c r="I47" s="16"/>
      <c r="J47" s="16"/>
      <c r="K47" s="16"/>
      <c r="L47" s="16"/>
      <c r="M47" s="16"/>
      <c r="N47" s="16"/>
      <c r="O47" s="16">
        <f>16828.9+323.09+45.88</f>
        <v>17197.870000000003</v>
      </c>
      <c r="Y47" s="18"/>
    </row>
    <row r="48" spans="2:25" s="17" customFormat="1" ht="11.25">
      <c r="B48" s="16" t="s">
        <v>60</v>
      </c>
      <c r="C48" s="16"/>
      <c r="D48" s="16"/>
      <c r="E48" s="16"/>
      <c r="F48" s="16">
        <v>3884.25</v>
      </c>
      <c r="G48" s="35"/>
      <c r="H48" s="16"/>
      <c r="I48" s="16"/>
      <c r="J48" s="16"/>
      <c r="K48" s="16"/>
      <c r="L48" s="16"/>
      <c r="M48" s="16"/>
      <c r="N48" s="16"/>
      <c r="O48" s="16">
        <f t="shared" si="5"/>
        <v>3884.25</v>
      </c>
      <c r="Y48" s="18"/>
    </row>
    <row r="49" spans="2:25" s="17" customFormat="1" ht="11.25">
      <c r="B49" s="16" t="s">
        <v>58</v>
      </c>
      <c r="C49" s="16"/>
      <c r="D49" s="16"/>
      <c r="E49" s="16"/>
      <c r="F49" s="16">
        <v>3800</v>
      </c>
      <c r="G49" s="35"/>
      <c r="H49" s="16"/>
      <c r="I49" s="16"/>
      <c r="J49" s="16"/>
      <c r="K49" s="16"/>
      <c r="L49" s="16"/>
      <c r="M49" s="16"/>
      <c r="N49" s="16"/>
      <c r="O49" s="16">
        <f t="shared" si="5"/>
        <v>3800</v>
      </c>
      <c r="Y49" s="18"/>
    </row>
    <row r="50" spans="2:25" s="17" customFormat="1" ht="11.25">
      <c r="B50" s="16" t="s">
        <v>89</v>
      </c>
      <c r="C50" s="16"/>
      <c r="D50" s="16"/>
      <c r="E50" s="16"/>
      <c r="F50" s="16"/>
      <c r="G50" s="35"/>
      <c r="H50" s="16">
        <v>8950</v>
      </c>
      <c r="I50" s="16"/>
      <c r="J50" s="16">
        <v>89550</v>
      </c>
      <c r="K50" s="16"/>
      <c r="L50" s="16"/>
      <c r="M50" s="16"/>
      <c r="N50" s="16"/>
      <c r="O50" s="16">
        <f t="shared" si="5"/>
        <v>98500</v>
      </c>
      <c r="Y50" s="18"/>
    </row>
    <row r="51" spans="2:25" s="17" customFormat="1" ht="11.25">
      <c r="B51" s="16" t="s">
        <v>88</v>
      </c>
      <c r="C51" s="16"/>
      <c r="D51" s="16"/>
      <c r="E51" s="16"/>
      <c r="F51" s="16"/>
      <c r="G51" s="35"/>
      <c r="H51" s="16"/>
      <c r="I51" s="16">
        <v>2000</v>
      </c>
      <c r="J51" s="16"/>
      <c r="K51" s="16"/>
      <c r="L51" s="16"/>
      <c r="M51" s="16"/>
      <c r="N51" s="16"/>
      <c r="O51" s="16">
        <f t="shared" si="5"/>
        <v>2000</v>
      </c>
      <c r="Y51" s="18"/>
    </row>
    <row r="52" spans="2:25" s="17" customFormat="1" ht="11.25">
      <c r="B52" s="16" t="s">
        <v>70</v>
      </c>
      <c r="C52" s="16"/>
      <c r="D52" s="16"/>
      <c r="E52" s="16"/>
      <c r="F52" s="16"/>
      <c r="G52" s="35"/>
      <c r="H52" s="16"/>
      <c r="I52" s="16"/>
      <c r="J52" s="16">
        <v>2922.61</v>
      </c>
      <c r="K52" s="16"/>
      <c r="L52" s="16"/>
      <c r="M52" s="16"/>
      <c r="N52" s="16"/>
      <c r="O52" s="16">
        <f t="shared" si="5"/>
        <v>2922.61</v>
      </c>
      <c r="Y52" s="18"/>
    </row>
    <row r="53" spans="2:25" s="17" customFormat="1" ht="11.25">
      <c r="B53" s="16" t="s">
        <v>101</v>
      </c>
      <c r="C53" s="16"/>
      <c r="D53" s="16"/>
      <c r="E53" s="16"/>
      <c r="F53" s="16"/>
      <c r="G53" s="35"/>
      <c r="H53" s="16"/>
      <c r="I53" s="16"/>
      <c r="J53" s="16"/>
      <c r="K53" s="16"/>
      <c r="L53" s="16">
        <v>650</v>
      </c>
      <c r="M53" s="16"/>
      <c r="N53" s="16"/>
      <c r="O53" s="16">
        <f t="shared" si="5"/>
        <v>650</v>
      </c>
      <c r="Y53" s="18"/>
    </row>
    <row r="54" spans="2:25" s="17" customFormat="1" ht="11.25">
      <c r="B54" s="16"/>
      <c r="C54" s="16"/>
      <c r="D54" s="16"/>
      <c r="E54" s="16"/>
      <c r="F54" s="16"/>
      <c r="G54" s="35"/>
      <c r="H54" s="16"/>
      <c r="I54" s="16"/>
      <c r="J54" s="16"/>
      <c r="K54" s="16"/>
      <c r="L54" s="16"/>
      <c r="M54" s="16"/>
      <c r="N54" s="16"/>
      <c r="O54" s="16">
        <f t="shared" si="5"/>
        <v>0</v>
      </c>
      <c r="Y54" s="18"/>
    </row>
    <row r="55" spans="2:25" s="17" customFormat="1" ht="11.25" hidden="1">
      <c r="B55" s="16"/>
      <c r="C55" s="16"/>
      <c r="D55" s="16"/>
      <c r="E55" s="16"/>
      <c r="F55" s="16"/>
      <c r="G55" s="35"/>
      <c r="H55" s="16"/>
      <c r="I55" s="16"/>
      <c r="J55" s="16"/>
      <c r="K55" s="16"/>
      <c r="L55" s="16"/>
      <c r="M55" s="16"/>
      <c r="N55" s="16"/>
      <c r="O55" s="16">
        <f t="shared" si="5"/>
        <v>0</v>
      </c>
      <c r="Y55" s="18"/>
    </row>
    <row r="56" spans="2:25" s="17" customFormat="1" ht="11.25" hidden="1">
      <c r="B56" s="16"/>
      <c r="C56" s="16"/>
      <c r="D56" s="16"/>
      <c r="E56" s="16"/>
      <c r="F56" s="16"/>
      <c r="G56" s="35"/>
      <c r="H56" s="16"/>
      <c r="I56" s="16"/>
      <c r="J56" s="16"/>
      <c r="K56" s="16"/>
      <c r="L56" s="16"/>
      <c r="M56" s="16"/>
      <c r="N56" s="16"/>
      <c r="O56" s="16">
        <f t="shared" si="5"/>
        <v>0</v>
      </c>
      <c r="Y56" s="18"/>
    </row>
    <row r="57" spans="2:25" s="17" customFormat="1" ht="11.25" hidden="1">
      <c r="B57" s="16"/>
      <c r="C57" s="16"/>
      <c r="D57" s="16"/>
      <c r="E57" s="16"/>
      <c r="F57" s="16"/>
      <c r="G57" s="35"/>
      <c r="H57" s="16"/>
      <c r="I57" s="16"/>
      <c r="J57" s="16"/>
      <c r="K57" s="16"/>
      <c r="L57" s="16"/>
      <c r="M57" s="16"/>
      <c r="N57" s="16"/>
      <c r="O57" s="16">
        <f t="shared" si="5"/>
        <v>0</v>
      </c>
      <c r="Y57" s="18"/>
    </row>
    <row r="58" spans="2:25" s="17" customFormat="1" ht="11.25" hidden="1">
      <c r="B58" s="16"/>
      <c r="C58" s="16"/>
      <c r="D58" s="16"/>
      <c r="E58" s="16"/>
      <c r="F58" s="16"/>
      <c r="G58" s="35"/>
      <c r="H58" s="16"/>
      <c r="I58" s="16"/>
      <c r="J58" s="16"/>
      <c r="K58" s="16"/>
      <c r="L58" s="16"/>
      <c r="M58" s="16"/>
      <c r="N58" s="16"/>
      <c r="O58" s="16">
        <f t="shared" si="5"/>
        <v>0</v>
      </c>
      <c r="Y58" s="18"/>
    </row>
    <row r="59" spans="2:25" s="17" customFormat="1" ht="11.25" hidden="1">
      <c r="B59" s="16"/>
      <c r="C59" s="16"/>
      <c r="D59" s="16"/>
      <c r="E59" s="16"/>
      <c r="F59" s="16"/>
      <c r="G59" s="35"/>
      <c r="H59" s="16"/>
      <c r="I59" s="16"/>
      <c r="J59" s="16"/>
      <c r="K59" s="16"/>
      <c r="L59" s="16"/>
      <c r="M59" s="16"/>
      <c r="N59" s="16"/>
      <c r="O59" s="16">
        <f t="shared" si="5"/>
        <v>0</v>
      </c>
      <c r="Y59" s="18"/>
    </row>
    <row r="60" spans="2:25" s="17" customFormat="1" ht="11.25" hidden="1">
      <c r="B60" s="16"/>
      <c r="C60" s="16"/>
      <c r="D60" s="16"/>
      <c r="E60" s="16"/>
      <c r="F60" s="16"/>
      <c r="G60" s="35"/>
      <c r="H60" s="16"/>
      <c r="I60" s="16"/>
      <c r="J60" s="16"/>
      <c r="K60" s="16"/>
      <c r="L60" s="16"/>
      <c r="M60" s="16"/>
      <c r="N60" s="16"/>
      <c r="O60" s="16">
        <f t="shared" si="5"/>
        <v>0</v>
      </c>
      <c r="Y60" s="18"/>
    </row>
    <row r="61" spans="2:25" s="17" customFormat="1" ht="11.25" hidden="1">
      <c r="B61" s="16"/>
      <c r="C61" s="16"/>
      <c r="D61" s="16"/>
      <c r="E61" s="16"/>
      <c r="F61" s="16"/>
      <c r="G61" s="35"/>
      <c r="H61" s="16"/>
      <c r="I61" s="16"/>
      <c r="J61" s="16"/>
      <c r="K61" s="16"/>
      <c r="L61" s="16"/>
      <c r="M61" s="16"/>
      <c r="N61" s="16"/>
      <c r="O61" s="16">
        <f t="shared" si="5"/>
        <v>0</v>
      </c>
      <c r="Y61" s="18"/>
    </row>
    <row r="62" spans="2:25" s="17" customFormat="1" ht="11.25" hidden="1">
      <c r="B62" s="16"/>
      <c r="C62" s="16"/>
      <c r="D62" s="16"/>
      <c r="E62" s="16"/>
      <c r="F62" s="16"/>
      <c r="G62" s="35"/>
      <c r="H62" s="16"/>
      <c r="I62" s="16"/>
      <c r="J62" s="16"/>
      <c r="K62" s="16"/>
      <c r="L62" s="16"/>
      <c r="M62" s="16"/>
      <c r="N62" s="16"/>
      <c r="O62" s="16">
        <f t="shared" si="5"/>
        <v>0</v>
      </c>
      <c r="Y62" s="18"/>
    </row>
    <row r="63" spans="2:25" s="17" customFormat="1" ht="11.25" hidden="1">
      <c r="B63" s="16"/>
      <c r="C63" s="16"/>
      <c r="D63" s="16"/>
      <c r="E63" s="16"/>
      <c r="F63" s="16"/>
      <c r="G63" s="35"/>
      <c r="H63" s="16"/>
      <c r="I63" s="16"/>
      <c r="J63" s="16"/>
      <c r="K63" s="16"/>
      <c r="L63" s="16"/>
      <c r="M63" s="16"/>
      <c r="N63" s="16"/>
      <c r="O63" s="16">
        <f t="shared" si="5"/>
        <v>0</v>
      </c>
      <c r="Y63" s="18"/>
    </row>
    <row r="64" spans="2:25" s="17" customFormat="1" ht="11.25" hidden="1">
      <c r="B64" s="16"/>
      <c r="C64" s="16"/>
      <c r="D64" s="16"/>
      <c r="E64" s="16"/>
      <c r="F64" s="16"/>
      <c r="G64" s="35"/>
      <c r="H64" s="16"/>
      <c r="I64" s="16"/>
      <c r="J64" s="16"/>
      <c r="K64" s="16"/>
      <c r="L64" s="16"/>
      <c r="M64" s="16"/>
      <c r="N64" s="16"/>
      <c r="O64" s="16">
        <f t="shared" si="5"/>
        <v>0</v>
      </c>
      <c r="Y64" s="18"/>
    </row>
    <row r="65" spans="2:25" s="17" customFormat="1" ht="11.25">
      <c r="B65" s="16"/>
      <c r="C65" s="16"/>
      <c r="D65" s="16"/>
      <c r="E65" s="16"/>
      <c r="F65" s="16"/>
      <c r="G65" s="35"/>
      <c r="H65" s="16"/>
      <c r="I65" s="16"/>
      <c r="J65" s="16"/>
      <c r="K65" s="16"/>
      <c r="L65" s="16"/>
      <c r="M65" s="16"/>
      <c r="N65" s="16"/>
      <c r="O65" s="16">
        <f t="shared" si="5"/>
        <v>0</v>
      </c>
      <c r="Y65" s="18"/>
    </row>
    <row r="66" spans="2:25" s="17" customFormat="1" ht="11.25">
      <c r="B66" s="15" t="s">
        <v>14</v>
      </c>
      <c r="C66" s="15">
        <f aca="true" t="shared" si="6" ref="C66:O66">SUM(C32:C65)</f>
        <v>65680.73</v>
      </c>
      <c r="D66" s="15">
        <f t="shared" si="6"/>
        <v>70537.48000000001</v>
      </c>
      <c r="E66" s="15">
        <f t="shared" si="6"/>
        <v>95957.81999999999</v>
      </c>
      <c r="F66" s="15">
        <f t="shared" si="6"/>
        <v>65069.15</v>
      </c>
      <c r="G66" s="36">
        <f t="shared" si="6"/>
        <v>77843.18000000002</v>
      </c>
      <c r="H66" s="15">
        <f t="shared" si="6"/>
        <v>74326.29000000001</v>
      </c>
      <c r="I66" s="15">
        <f t="shared" si="6"/>
        <v>76114.56</v>
      </c>
      <c r="J66" s="15">
        <f t="shared" si="6"/>
        <v>161445.44</v>
      </c>
      <c r="K66" s="15">
        <f t="shared" si="6"/>
        <v>59945.079999999994</v>
      </c>
      <c r="L66" s="15">
        <f t="shared" si="6"/>
        <v>73245.89</v>
      </c>
      <c r="M66" s="15">
        <f t="shared" si="6"/>
        <v>31107.469999999998</v>
      </c>
      <c r="N66" s="15">
        <f t="shared" si="6"/>
        <v>0</v>
      </c>
      <c r="O66" s="15">
        <f t="shared" si="6"/>
        <v>868470.9599999998</v>
      </c>
      <c r="Y66" s="18"/>
    </row>
    <row r="67" ht="11.25">
      <c r="G67" s="37"/>
    </row>
    <row r="68" spans="2:15" ht="11.25">
      <c r="B68" s="20" t="s">
        <v>131</v>
      </c>
      <c r="C68" s="21">
        <f aca="true" t="shared" si="7" ref="C68:O68">C9+C24-C66</f>
        <v>91269.89</v>
      </c>
      <c r="D68" s="21">
        <f t="shared" si="7"/>
        <v>101960.29999999999</v>
      </c>
      <c r="E68" s="21">
        <f t="shared" si="7"/>
        <v>73458.2</v>
      </c>
      <c r="F68" s="21">
        <f t="shared" si="7"/>
        <v>93340.05000000002</v>
      </c>
      <c r="G68" s="38">
        <f t="shared" si="7"/>
        <v>100137.50999999998</v>
      </c>
      <c r="H68" s="21">
        <f t="shared" si="7"/>
        <v>116217.26999999999</v>
      </c>
      <c r="I68" s="21">
        <f t="shared" si="7"/>
        <v>125860.5</v>
      </c>
      <c r="J68" s="21">
        <f t="shared" si="7"/>
        <v>35426.46999999997</v>
      </c>
      <c r="K68" s="21">
        <f t="shared" si="7"/>
        <v>44382.229999999974</v>
      </c>
      <c r="L68" s="38">
        <f t="shared" si="7"/>
        <v>72304.33999999998</v>
      </c>
      <c r="M68" s="21">
        <f t="shared" si="7"/>
        <v>41196.86999999998</v>
      </c>
      <c r="N68" s="21">
        <f t="shared" si="7"/>
        <v>41196.86999999998</v>
      </c>
      <c r="O68" s="42">
        <f t="shared" si="7"/>
        <v>18138.790000000154</v>
      </c>
    </row>
    <row r="69" spans="2:15" s="3" customFormat="1" ht="11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ht="11.25">
      <c r="B70" s="2" t="s">
        <v>21</v>
      </c>
    </row>
    <row r="71" ht="11.25">
      <c r="B71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67"/>
  <sheetViews>
    <sheetView zoomScale="90" zoomScaleNormal="90" zoomScalePageLayoutView="0" workbookViewId="0" topLeftCell="A1">
      <pane xSplit="2" ySplit="5" topLeftCell="H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8" sqref="Q68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8.62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2">
      <c r="B1" s="43" t="s">
        <v>105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"/>
    </row>
    <row r="2" spans="2:16" ht="12">
      <c r="B2" s="46" t="s">
        <v>104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</row>
    <row r="3" spans="2:15" ht="12">
      <c r="B3" s="46" t="s">
        <v>106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2">
      <c r="B4" s="46" t="s">
        <v>128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ht="12"/>
    <row r="6" spans="2:15" ht="12">
      <c r="B6" s="5"/>
      <c r="C6" s="5"/>
      <c r="D6" s="5"/>
      <c r="E6" s="5"/>
      <c r="F6" s="5"/>
      <c r="G6" s="27"/>
      <c r="H6" s="5"/>
      <c r="I6" s="5"/>
      <c r="J6" s="5"/>
      <c r="K6" s="5"/>
      <c r="L6" s="5"/>
      <c r="M6" s="5"/>
      <c r="N6" s="5"/>
      <c r="O6" s="4"/>
    </row>
    <row r="7" spans="2:15" ht="12">
      <c r="B7" s="4" t="s">
        <v>39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2">
      <c r="B8" s="5" t="s">
        <v>13</v>
      </c>
      <c r="C8" s="5">
        <v>62973.11</v>
      </c>
      <c r="D8" s="5"/>
      <c r="E8" s="5"/>
      <c r="F8" s="5"/>
      <c r="G8" s="27"/>
      <c r="H8" s="5"/>
      <c r="I8" s="5"/>
      <c r="J8" s="5"/>
      <c r="K8" s="5"/>
      <c r="L8" s="5"/>
      <c r="M8" s="5"/>
      <c r="N8" s="5"/>
      <c r="O8" s="5">
        <f>C8+D8+E8+F8+G8+H8+I8+J8+K8+L8+M8+N8</f>
        <v>62973.11</v>
      </c>
    </row>
    <row r="9" spans="2:15" s="3" customFormat="1" ht="12">
      <c r="B9" s="4" t="s">
        <v>14</v>
      </c>
      <c r="C9" s="4">
        <f>C8</f>
        <v>62973.11</v>
      </c>
      <c r="D9" s="4">
        <f aca="true" t="shared" si="0" ref="D9:I9">C64</f>
        <v>67805.32999999999</v>
      </c>
      <c r="E9" s="4">
        <f t="shared" si="0"/>
        <v>65891.88999999998</v>
      </c>
      <c r="F9" s="4">
        <f t="shared" si="0"/>
        <v>54213.26999999999</v>
      </c>
      <c r="G9" s="28">
        <f t="shared" si="0"/>
        <v>49205.869999999995</v>
      </c>
      <c r="H9" s="4">
        <f t="shared" si="0"/>
        <v>41005.499999999985</v>
      </c>
      <c r="I9" s="4">
        <f t="shared" si="0"/>
        <v>62252.56999999996</v>
      </c>
      <c r="J9" s="4">
        <f>I64</f>
        <v>56774.929999999935</v>
      </c>
      <c r="K9" s="4">
        <f>J64</f>
        <v>44920.449999999924</v>
      </c>
      <c r="L9" s="4">
        <f>K64</f>
        <v>58868.31999999993</v>
      </c>
      <c r="M9" s="4">
        <f>L64</f>
        <v>34118.06999999992</v>
      </c>
      <c r="N9" s="4">
        <f>M64</f>
        <v>-22354.510000000082</v>
      </c>
      <c r="O9" s="4">
        <f>O8</f>
        <v>62973.11</v>
      </c>
    </row>
    <row r="10" spans="2:15" ht="12">
      <c r="B10" s="5"/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2">
      <c r="B11" s="5"/>
      <c r="C11" s="5"/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4"/>
    </row>
    <row r="12" spans="2:25" s="10" customFormat="1" ht="12">
      <c r="B12" s="8" t="s">
        <v>15</v>
      </c>
      <c r="C12" s="9"/>
      <c r="D12" s="9"/>
      <c r="E12" s="9"/>
      <c r="F12" s="9"/>
      <c r="G12" s="29"/>
      <c r="H12" s="9"/>
      <c r="I12" s="9"/>
      <c r="J12" s="9"/>
      <c r="K12" s="9"/>
      <c r="L12" s="9"/>
      <c r="M12" s="9"/>
      <c r="N12" s="9"/>
      <c r="O12" s="8"/>
      <c r="Y12" s="11"/>
    </row>
    <row r="13" spans="2:25" s="10" customFormat="1" ht="12">
      <c r="B13" s="9" t="s">
        <v>13</v>
      </c>
      <c r="C13" s="9">
        <v>78800.2</v>
      </c>
      <c r="D13" s="9">
        <v>78800.2</v>
      </c>
      <c r="E13" s="9">
        <v>78800.2</v>
      </c>
      <c r="F13" s="9">
        <v>78800.2</v>
      </c>
      <c r="G13" s="9">
        <v>78800.2</v>
      </c>
      <c r="H13" s="9">
        <v>78800.2</v>
      </c>
      <c r="I13" s="9">
        <v>78800.2</v>
      </c>
      <c r="J13" s="9">
        <v>78800.2</v>
      </c>
      <c r="K13" s="9">
        <v>78800.2</v>
      </c>
      <c r="L13" s="9">
        <v>75413.47</v>
      </c>
      <c r="M13" s="9">
        <v>75413.47</v>
      </c>
      <c r="N13" s="9"/>
      <c r="O13" s="9">
        <f>C13+D13+E13+F13+G13+H13+I13+J13+K13+L13+M13+N13</f>
        <v>860028.7399999999</v>
      </c>
      <c r="Y13" s="11"/>
    </row>
    <row r="14" spans="2:25" s="10" customFormat="1" ht="12">
      <c r="B14" s="9" t="s">
        <v>33</v>
      </c>
      <c r="C14" s="9"/>
      <c r="D14" s="9"/>
      <c r="E14" s="9"/>
      <c r="F14" s="9"/>
      <c r="G14" s="29"/>
      <c r="H14" s="9"/>
      <c r="I14" s="9"/>
      <c r="J14" s="9"/>
      <c r="K14" s="9"/>
      <c r="L14" s="9">
        <v>4996.27</v>
      </c>
      <c r="M14" s="9">
        <v>4996.27</v>
      </c>
      <c r="N14" s="9"/>
      <c r="O14" s="9">
        <f>C14+D14+E14+F14+G14+H14+I14+J14+K14+L14+M14+N14</f>
        <v>9992.54</v>
      </c>
      <c r="Y14" s="11"/>
    </row>
    <row r="15" spans="2:25" s="10" customFormat="1" ht="12">
      <c r="B15" s="16" t="s">
        <v>25</v>
      </c>
      <c r="C15" s="9"/>
      <c r="D15" s="9"/>
      <c r="E15" s="9"/>
      <c r="F15" s="9"/>
      <c r="G15" s="29"/>
      <c r="H15" s="9"/>
      <c r="I15" s="9"/>
      <c r="J15" s="9"/>
      <c r="K15" s="9"/>
      <c r="L15" s="9"/>
      <c r="M15" s="9"/>
      <c r="N15" s="9"/>
      <c r="O15" s="9">
        <f>C15+D15+E15+F15+G15+H15+I15+J15+K15+L15+M15+N15</f>
        <v>0</v>
      </c>
      <c r="Y15" s="11"/>
    </row>
    <row r="16" spans="2:25" s="10" customFormat="1" ht="12">
      <c r="B16" s="16"/>
      <c r="C16" s="9"/>
      <c r="D16" s="9"/>
      <c r="E16" s="9"/>
      <c r="F16" s="9"/>
      <c r="G16" s="29"/>
      <c r="H16" s="9"/>
      <c r="I16" s="9"/>
      <c r="J16" s="9"/>
      <c r="K16" s="9"/>
      <c r="L16" s="9"/>
      <c r="M16" s="9"/>
      <c r="N16" s="9"/>
      <c r="O16" s="9"/>
      <c r="Y16" s="11"/>
    </row>
    <row r="17" spans="2:15" s="11" customFormat="1" ht="12">
      <c r="B17" s="8" t="s">
        <v>14</v>
      </c>
      <c r="C17" s="8">
        <f aca="true" t="shared" si="1" ref="C17:N17">SUM(C11:C15)</f>
        <v>78800.2</v>
      </c>
      <c r="D17" s="8">
        <f t="shared" si="1"/>
        <v>78800.2</v>
      </c>
      <c r="E17" s="8">
        <f t="shared" si="1"/>
        <v>78800.2</v>
      </c>
      <c r="F17" s="8">
        <f t="shared" si="1"/>
        <v>78800.2</v>
      </c>
      <c r="G17" s="30">
        <f t="shared" si="1"/>
        <v>78800.2</v>
      </c>
      <c r="H17" s="8">
        <f t="shared" si="1"/>
        <v>78800.2</v>
      </c>
      <c r="I17" s="8">
        <f t="shared" si="1"/>
        <v>78800.2</v>
      </c>
      <c r="J17" s="8">
        <f t="shared" si="1"/>
        <v>78800.2</v>
      </c>
      <c r="K17" s="8">
        <f t="shared" si="1"/>
        <v>78800.2</v>
      </c>
      <c r="L17" s="8">
        <f t="shared" si="1"/>
        <v>80409.74</v>
      </c>
      <c r="M17" s="8">
        <f t="shared" si="1"/>
        <v>80409.74</v>
      </c>
      <c r="N17" s="8">
        <f t="shared" si="1"/>
        <v>0</v>
      </c>
      <c r="O17" s="8">
        <f>C17+D17+E17+F17+G17+H17+I17+J17+K17+L17+M17+N17</f>
        <v>870021.2799999999</v>
      </c>
    </row>
    <row r="18" spans="2:15" ht="12">
      <c r="B18" s="5"/>
      <c r="C18" s="5"/>
      <c r="D18" s="5"/>
      <c r="E18" s="5"/>
      <c r="F18" s="5"/>
      <c r="G18" s="27"/>
      <c r="H18" s="5"/>
      <c r="I18" s="5"/>
      <c r="J18" s="5"/>
      <c r="K18" s="5"/>
      <c r="L18" s="5"/>
      <c r="M18" s="5"/>
      <c r="N18" s="5"/>
      <c r="O18" s="4"/>
    </row>
    <row r="19" spans="2:25" s="25" customFormat="1" ht="12">
      <c r="B19" s="23" t="s">
        <v>16</v>
      </c>
      <c r="C19" s="24"/>
      <c r="D19" s="24"/>
      <c r="E19" s="24"/>
      <c r="F19" s="24"/>
      <c r="G19" s="31"/>
      <c r="H19" s="24"/>
      <c r="I19" s="24"/>
      <c r="J19" s="24"/>
      <c r="K19" s="24"/>
      <c r="L19" s="24"/>
      <c r="M19" s="24"/>
      <c r="N19" s="24"/>
      <c r="O19" s="23"/>
      <c r="Y19" s="26"/>
    </row>
    <row r="20" spans="2:25" s="25" customFormat="1" ht="12">
      <c r="B20" s="24" t="s">
        <v>13</v>
      </c>
      <c r="C20" s="24">
        <v>71253.26</v>
      </c>
      <c r="D20" s="24">
        <v>69429.47</v>
      </c>
      <c r="E20" s="24">
        <v>85960.9</v>
      </c>
      <c r="F20" s="24">
        <v>68804.5</v>
      </c>
      <c r="G20" s="31">
        <v>71280.83</v>
      </c>
      <c r="H20" s="24">
        <v>89471.56</v>
      </c>
      <c r="I20" s="24">
        <v>73664.95</v>
      </c>
      <c r="J20" s="24">
        <f>65232.48-1867.82</f>
        <v>63364.66</v>
      </c>
      <c r="K20" s="24">
        <v>75452.58</v>
      </c>
      <c r="L20" s="24">
        <v>72536.38</v>
      </c>
      <c r="M20" s="24">
        <v>15000</v>
      </c>
      <c r="N20" s="24"/>
      <c r="O20" s="24">
        <f>C20+D20+E20+F20+G20+H20+I20+J20+K20+L20+M20+N20+6861.74</f>
        <v>763080.83</v>
      </c>
      <c r="Y20" s="26"/>
    </row>
    <row r="21" spans="2:25" s="25" customFormat="1" ht="12">
      <c r="B21" s="9" t="s">
        <v>33</v>
      </c>
      <c r="C21" s="24"/>
      <c r="D21" s="24"/>
      <c r="E21" s="24"/>
      <c r="F21" s="24"/>
      <c r="G21" s="31"/>
      <c r="H21" s="24"/>
      <c r="I21" s="24"/>
      <c r="J21" s="24"/>
      <c r="K21" s="24"/>
      <c r="L21" s="24"/>
      <c r="M21" s="24"/>
      <c r="N21" s="24"/>
      <c r="O21" s="24">
        <f>C21+D21+E21+F21+G21+H21+I21+J21+K21+L21+M21+N21</f>
        <v>0</v>
      </c>
      <c r="Y21" s="26"/>
    </row>
    <row r="22" spans="2:25" s="25" customFormat="1" ht="12">
      <c r="B22" s="16" t="s">
        <v>25</v>
      </c>
      <c r="C22" s="24"/>
      <c r="D22" s="24"/>
      <c r="E22" s="24"/>
      <c r="F22" s="24"/>
      <c r="G22" s="31"/>
      <c r="H22" s="24"/>
      <c r="I22" s="24"/>
      <c r="J22" s="24"/>
      <c r="K22" s="24"/>
      <c r="L22" s="24"/>
      <c r="M22" s="24"/>
      <c r="N22" s="24"/>
      <c r="O22" s="24">
        <f>C22+D22+E22+F22+G22+H22+I22+J22+K22+L22+M22+N22</f>
        <v>0</v>
      </c>
      <c r="Y22" s="26"/>
    </row>
    <row r="23" spans="2:25" s="25" customFormat="1" ht="12">
      <c r="B23" s="16"/>
      <c r="C23" s="24"/>
      <c r="D23" s="24"/>
      <c r="E23" s="24"/>
      <c r="F23" s="24"/>
      <c r="G23" s="31"/>
      <c r="H23" s="24"/>
      <c r="I23" s="24"/>
      <c r="J23" s="24"/>
      <c r="K23" s="24"/>
      <c r="L23" s="24"/>
      <c r="M23" s="24"/>
      <c r="N23" s="24"/>
      <c r="O23" s="24"/>
      <c r="Y23" s="26"/>
    </row>
    <row r="24" spans="2:15" s="26" customFormat="1" ht="12">
      <c r="B24" s="23" t="s">
        <v>14</v>
      </c>
      <c r="C24" s="23">
        <f aca="true" t="shared" si="2" ref="C24:O24">SUM(C20:C23)</f>
        <v>71253.26</v>
      </c>
      <c r="D24" s="23">
        <f t="shared" si="2"/>
        <v>69429.47</v>
      </c>
      <c r="E24" s="23">
        <f t="shared" si="2"/>
        <v>85960.9</v>
      </c>
      <c r="F24" s="23">
        <f t="shared" si="2"/>
        <v>68804.5</v>
      </c>
      <c r="G24" s="32">
        <f t="shared" si="2"/>
        <v>71280.83</v>
      </c>
      <c r="H24" s="23">
        <f t="shared" si="2"/>
        <v>89471.56</v>
      </c>
      <c r="I24" s="23">
        <f t="shared" si="2"/>
        <v>73664.95</v>
      </c>
      <c r="J24" s="23">
        <f t="shared" si="2"/>
        <v>63364.66</v>
      </c>
      <c r="K24" s="23">
        <f t="shared" si="2"/>
        <v>75452.58</v>
      </c>
      <c r="L24" s="23">
        <f t="shared" si="2"/>
        <v>72536.38</v>
      </c>
      <c r="M24" s="23">
        <f t="shared" si="2"/>
        <v>15000</v>
      </c>
      <c r="N24" s="23">
        <f t="shared" si="2"/>
        <v>0</v>
      </c>
      <c r="O24" s="23">
        <f t="shared" si="2"/>
        <v>763080.83</v>
      </c>
    </row>
    <row r="25" spans="2:15" ht="11.25">
      <c r="B25" s="5"/>
      <c r="C25" s="5"/>
      <c r="D25" s="5"/>
      <c r="E25" s="5"/>
      <c r="F25" s="5"/>
      <c r="G25" s="27"/>
      <c r="H25" s="5"/>
      <c r="I25" s="5"/>
      <c r="J25" s="5"/>
      <c r="K25" s="5"/>
      <c r="L25" s="5"/>
      <c r="M25" s="5"/>
      <c r="N25" s="5"/>
      <c r="O25" s="4"/>
    </row>
    <row r="26" spans="2:15" ht="11.25">
      <c r="B26" s="4" t="s">
        <v>17</v>
      </c>
      <c r="C26" s="12">
        <f aca="true" t="shared" si="3" ref="C26:O26">C24/C17</f>
        <v>0.9042268928251451</v>
      </c>
      <c r="D26" s="12">
        <f t="shared" si="3"/>
        <v>0.8810824084202833</v>
      </c>
      <c r="E26" s="12">
        <f t="shared" si="3"/>
        <v>1.090871596772597</v>
      </c>
      <c r="F26" s="12">
        <f t="shared" si="3"/>
        <v>0.8731513371793473</v>
      </c>
      <c r="G26" s="33">
        <f t="shared" si="3"/>
        <v>0.9045767650335913</v>
      </c>
      <c r="H26" s="12">
        <f t="shared" si="3"/>
        <v>1.1354230065405926</v>
      </c>
      <c r="I26" s="12">
        <f t="shared" si="3"/>
        <v>0.9348320181928472</v>
      </c>
      <c r="J26" s="12">
        <f t="shared" si="3"/>
        <v>0.8041180098527669</v>
      </c>
      <c r="K26" s="12">
        <f t="shared" si="3"/>
        <v>0.9575176205136535</v>
      </c>
      <c r="L26" s="12">
        <f t="shared" si="3"/>
        <v>0.9020844987186876</v>
      </c>
      <c r="M26" s="12">
        <f t="shared" si="3"/>
        <v>0.18654456537230438</v>
      </c>
      <c r="N26" s="12" t="e">
        <f t="shared" si="3"/>
        <v>#DIV/0!</v>
      </c>
      <c r="O26" s="13">
        <f t="shared" si="3"/>
        <v>0.877082949051545</v>
      </c>
    </row>
    <row r="27" spans="2:15" ht="11.25">
      <c r="B27" s="4"/>
      <c r="C27" s="12"/>
      <c r="D27" s="12"/>
      <c r="E27" s="12"/>
      <c r="F27" s="12"/>
      <c r="G27" s="33"/>
      <c r="H27" s="12"/>
      <c r="I27" s="12"/>
      <c r="J27" s="12"/>
      <c r="K27" s="12"/>
      <c r="L27" s="12"/>
      <c r="M27" s="12"/>
      <c r="N27" s="12"/>
      <c r="O27" s="14"/>
    </row>
    <row r="28" spans="2:15" ht="11.25">
      <c r="B28" s="4" t="s">
        <v>18</v>
      </c>
      <c r="C28" s="7">
        <f aca="true" t="shared" si="4" ref="C28:O28">C17-C24</f>
        <v>7546.940000000002</v>
      </c>
      <c r="D28" s="7">
        <f t="shared" si="4"/>
        <v>9370.729999999996</v>
      </c>
      <c r="E28" s="7">
        <f t="shared" si="4"/>
        <v>-7160.699999999997</v>
      </c>
      <c r="F28" s="7">
        <f t="shared" si="4"/>
        <v>9995.699999999997</v>
      </c>
      <c r="G28" s="34">
        <f t="shared" si="4"/>
        <v>7519.369999999995</v>
      </c>
      <c r="H28" s="7">
        <f t="shared" si="4"/>
        <v>-10671.36</v>
      </c>
      <c r="I28" s="7">
        <f t="shared" si="4"/>
        <v>5135.25</v>
      </c>
      <c r="J28" s="7">
        <f t="shared" si="4"/>
        <v>15435.539999999994</v>
      </c>
      <c r="K28" s="7">
        <f t="shared" si="4"/>
        <v>3347.6199999999953</v>
      </c>
      <c r="L28" s="7">
        <f t="shared" si="4"/>
        <v>7873.360000000001</v>
      </c>
      <c r="M28" s="7">
        <f t="shared" si="4"/>
        <v>65409.740000000005</v>
      </c>
      <c r="N28" s="7">
        <f t="shared" si="4"/>
        <v>0</v>
      </c>
      <c r="O28" s="7">
        <f t="shared" si="4"/>
        <v>106940.44999999995</v>
      </c>
    </row>
    <row r="29" spans="2:15" ht="11.25">
      <c r="B29" s="5"/>
      <c r="C29" s="5"/>
      <c r="D29" s="5"/>
      <c r="E29" s="5"/>
      <c r="F29" s="5"/>
      <c r="G29" s="27"/>
      <c r="H29" s="5"/>
      <c r="I29" s="5"/>
      <c r="J29" s="5"/>
      <c r="K29" s="5"/>
      <c r="L29" s="5"/>
      <c r="M29" s="5"/>
      <c r="N29" s="5"/>
      <c r="O29" s="4"/>
    </row>
    <row r="30" spans="2:25" s="17" customFormat="1" ht="11.25">
      <c r="B30" s="15" t="s">
        <v>19</v>
      </c>
      <c r="C30" s="16"/>
      <c r="D30" s="16"/>
      <c r="E30" s="16"/>
      <c r="F30" s="16"/>
      <c r="G30" s="35"/>
      <c r="H30" s="16"/>
      <c r="I30" s="16"/>
      <c r="J30" s="16"/>
      <c r="K30" s="16"/>
      <c r="L30" s="16"/>
      <c r="M30" s="16"/>
      <c r="N30" s="16"/>
      <c r="O30" s="15"/>
      <c r="Y30" s="18"/>
    </row>
    <row r="31" spans="2:25" s="17" customFormat="1" ht="11.25">
      <c r="B31" s="16"/>
      <c r="C31" s="16"/>
      <c r="D31" s="16"/>
      <c r="E31" s="16"/>
      <c r="F31" s="16"/>
      <c r="G31" s="35"/>
      <c r="H31" s="16"/>
      <c r="I31" s="16"/>
      <c r="J31" s="16"/>
      <c r="K31" s="16"/>
      <c r="L31" s="16"/>
      <c r="M31" s="16"/>
      <c r="N31" s="16"/>
      <c r="O31" s="15"/>
      <c r="Y31" s="18"/>
    </row>
    <row r="32" spans="2:25" s="17" customFormat="1" ht="11.25">
      <c r="B32" s="16" t="s">
        <v>20</v>
      </c>
      <c r="C32" s="16">
        <f>111.09-0.2</f>
        <v>110.89</v>
      </c>
      <c r="D32" s="16">
        <f>288.69+0.05</f>
        <v>288.74</v>
      </c>
      <c r="E32" s="16">
        <v>397.39</v>
      </c>
      <c r="F32" s="16">
        <v>402.63</v>
      </c>
      <c r="G32" s="35">
        <v>653.08</v>
      </c>
      <c r="H32" s="16">
        <v>715.09</v>
      </c>
      <c r="I32" s="16">
        <v>462.1</v>
      </c>
      <c r="J32" s="16">
        <v>331.53</v>
      </c>
      <c r="K32" s="16">
        <v>336.53</v>
      </c>
      <c r="L32" s="16">
        <v>818.28</v>
      </c>
      <c r="M32" s="16">
        <v>143.18</v>
      </c>
      <c r="N32" s="16"/>
      <c r="O32" s="16">
        <f>C32+D32+E32+F32+G32+H32+I32+J32+K32+L32+M32+N32</f>
        <v>4659.44</v>
      </c>
      <c r="Y32" s="18"/>
    </row>
    <row r="33" spans="2:25" s="17" customFormat="1" ht="11.25">
      <c r="B33" s="16" t="s">
        <v>32</v>
      </c>
      <c r="C33" s="16">
        <f>25953.77+634.54</f>
        <v>26588.31</v>
      </c>
      <c r="D33" s="16">
        <f>25319.23+1729.81</f>
        <v>27049.04</v>
      </c>
      <c r="E33" s="16">
        <v>25953.77</v>
      </c>
      <c r="F33" s="16">
        <v>25953.77</v>
      </c>
      <c r="G33" s="35">
        <v>25953.77</v>
      </c>
      <c r="H33" s="16">
        <v>25953.77</v>
      </c>
      <c r="I33" s="16">
        <v>25953.77</v>
      </c>
      <c r="J33" s="16">
        <v>25953.77</v>
      </c>
      <c r="K33" s="16">
        <v>25953.77</v>
      </c>
      <c r="L33" s="16">
        <v>25953.77</v>
      </c>
      <c r="M33" s="16">
        <v>25953.77</v>
      </c>
      <c r="N33" s="16"/>
      <c r="O33" s="16">
        <f aca="true" t="shared" si="5" ref="O33:O61">C33+D33+E33+F33+G33+H33+I33+J33+K33+L33+M33+N33</f>
        <v>287221.27999999997</v>
      </c>
      <c r="Y33" s="18"/>
    </row>
    <row r="34" spans="2:25" s="17" customFormat="1" ht="11.25">
      <c r="B34" s="16" t="s">
        <v>26</v>
      </c>
      <c r="C34" s="16">
        <f>4972.03+2131.29</f>
        <v>7103.32</v>
      </c>
      <c r="D34" s="16">
        <f>7645.7+2581.51</f>
        <v>10227.21</v>
      </c>
      <c r="E34" s="16">
        <f>7645.75+2581.51</f>
        <v>10227.26</v>
      </c>
      <c r="F34" s="16">
        <f>3347+3807.22+2581.51</f>
        <v>9735.73</v>
      </c>
      <c r="G34" s="35">
        <f>3838.53+7645.75</f>
        <v>11484.28</v>
      </c>
      <c r="H34" s="16">
        <f>7645.75+2581.51</f>
        <v>10227.26</v>
      </c>
      <c r="I34" s="16">
        <f>7645.75+2581.51</f>
        <v>10227.26</v>
      </c>
      <c r="J34" s="16">
        <f>7645.75+2581.51</f>
        <v>10227.26</v>
      </c>
      <c r="K34" s="16">
        <f>7645.75+2581.51</f>
        <v>10227.26</v>
      </c>
      <c r="L34" s="16">
        <f>7645.75+2581.51</f>
        <v>10227.26</v>
      </c>
      <c r="M34" s="16"/>
      <c r="N34" s="16"/>
      <c r="O34" s="16">
        <f t="shared" si="5"/>
        <v>99914.09999999999</v>
      </c>
      <c r="Y34" s="18"/>
    </row>
    <row r="35" spans="2:25" s="17" customFormat="1" ht="11.25">
      <c r="B35" s="16" t="s">
        <v>27</v>
      </c>
      <c r="C35" s="16">
        <f>1906.18+12230.59</f>
        <v>14136.77</v>
      </c>
      <c r="D35" s="16">
        <f>1269.07+12230.59</f>
        <v>13499.66</v>
      </c>
      <c r="E35" s="16">
        <v>12230.59</v>
      </c>
      <c r="F35" s="16">
        <v>3807.22</v>
      </c>
      <c r="G35" s="35">
        <f>8423.38+6345.36+2581.51</f>
        <v>17350.25</v>
      </c>
      <c r="H35" s="16">
        <f>5885.23+6345.36</f>
        <v>12230.59</v>
      </c>
      <c r="I35" s="16">
        <f>5885.23+6345.36</f>
        <v>12230.59</v>
      </c>
      <c r="J35" s="16">
        <f>13607.77+++308.01</f>
        <v>13915.78</v>
      </c>
      <c r="K35" s="16">
        <f>13607.77+308.01</f>
        <v>13915.78</v>
      </c>
      <c r="L35" s="16">
        <f>13607.77+308.01+5885.23</f>
        <v>19801.010000000002</v>
      </c>
      <c r="M35" s="16"/>
      <c r="N35" s="16"/>
      <c r="O35" s="16">
        <f t="shared" si="5"/>
        <v>133118.24</v>
      </c>
      <c r="Y35" s="18"/>
    </row>
    <row r="36" spans="2:25" s="17" customFormat="1" ht="11.25">
      <c r="B36" s="16" t="s">
        <v>23</v>
      </c>
      <c r="C36" s="16">
        <v>837.23</v>
      </c>
      <c r="D36" s="16">
        <v>2307.59</v>
      </c>
      <c r="E36" s="16">
        <v>13534.94</v>
      </c>
      <c r="F36" s="16">
        <v>3154.46</v>
      </c>
      <c r="G36" s="35">
        <v>5653.22</v>
      </c>
      <c r="H36" s="16">
        <v>1424.25</v>
      </c>
      <c r="I36" s="16">
        <v>1000</v>
      </c>
      <c r="J36" s="16">
        <v>5000</v>
      </c>
      <c r="K36" s="16"/>
      <c r="L36" s="16"/>
      <c r="M36" s="16"/>
      <c r="N36" s="16"/>
      <c r="O36" s="16">
        <f t="shared" si="5"/>
        <v>32911.69</v>
      </c>
      <c r="Y36" s="18"/>
    </row>
    <row r="37" spans="2:25" s="17" customFormat="1" ht="11.25">
      <c r="B37" s="19" t="s">
        <v>28</v>
      </c>
      <c r="C37" s="16">
        <v>73.52</v>
      </c>
      <c r="D37" s="16">
        <v>73.52</v>
      </c>
      <c r="E37" s="16">
        <v>73.52</v>
      </c>
      <c r="F37" s="16">
        <v>73.52</v>
      </c>
      <c r="G37" s="35"/>
      <c r="H37" s="16"/>
      <c r="I37" s="16">
        <v>73.52</v>
      </c>
      <c r="J37" s="16">
        <v>73.52</v>
      </c>
      <c r="K37" s="16">
        <v>73.52</v>
      </c>
      <c r="L37" s="16">
        <v>73.52</v>
      </c>
      <c r="M37" s="16">
        <v>73.52</v>
      </c>
      <c r="N37" s="16"/>
      <c r="O37" s="16">
        <f t="shared" si="5"/>
        <v>661.68</v>
      </c>
      <c r="Y37" s="18"/>
    </row>
    <row r="38" spans="2:25" s="17" customFormat="1" ht="11.25">
      <c r="B38" s="16" t="s">
        <v>29</v>
      </c>
      <c r="C38" s="16">
        <v>4500</v>
      </c>
      <c r="D38" s="16">
        <v>4500</v>
      </c>
      <c r="E38" s="16">
        <v>4500</v>
      </c>
      <c r="F38" s="16">
        <v>2250</v>
      </c>
      <c r="G38" s="35">
        <f>2250+2250</f>
        <v>4500</v>
      </c>
      <c r="H38" s="16">
        <f>2250+2250</f>
        <v>4500</v>
      </c>
      <c r="I38" s="16">
        <f>2250+2250</f>
        <v>4500</v>
      </c>
      <c r="J38" s="16">
        <f>2250</f>
        <v>2250</v>
      </c>
      <c r="K38" s="16"/>
      <c r="L38" s="16"/>
      <c r="M38" s="16"/>
      <c r="N38" s="16"/>
      <c r="O38" s="16">
        <f t="shared" si="5"/>
        <v>31500</v>
      </c>
      <c r="Y38" s="18"/>
    </row>
    <row r="39" spans="2:25" s="17" customFormat="1" ht="11.25">
      <c r="B39" s="16" t="s">
        <v>25</v>
      </c>
      <c r="C39" s="16">
        <v>3400</v>
      </c>
      <c r="D39" s="16">
        <v>3400</v>
      </c>
      <c r="E39" s="16"/>
      <c r="F39" s="16">
        <v>6800</v>
      </c>
      <c r="G39" s="35">
        <v>3400</v>
      </c>
      <c r="H39" s="16">
        <v>3400</v>
      </c>
      <c r="I39" s="16">
        <v>3400</v>
      </c>
      <c r="J39" s="16"/>
      <c r="K39" s="16"/>
      <c r="L39" s="16">
        <v>6800</v>
      </c>
      <c r="M39" s="16"/>
      <c r="N39" s="16"/>
      <c r="O39" s="16">
        <f t="shared" si="5"/>
        <v>30600</v>
      </c>
      <c r="Y39" s="18"/>
    </row>
    <row r="40" spans="2:25" s="17" customFormat="1" ht="11.25">
      <c r="B40" s="16" t="s">
        <v>31</v>
      </c>
      <c r="C40" s="16">
        <f>4018.03+508.79</f>
        <v>4526.820000000001</v>
      </c>
      <c r="D40" s="16">
        <f>2797.01+1729.81</f>
        <v>4526.82</v>
      </c>
      <c r="E40" s="16"/>
      <c r="F40" s="16">
        <f>3182.91+1343.91</f>
        <v>4526.82</v>
      </c>
      <c r="G40" s="35">
        <f>3187.4+1339.42</f>
        <v>4526.82</v>
      </c>
      <c r="H40" s="16"/>
      <c r="I40" s="16">
        <f>3124.1+3009.4+1402.72+1517.42</f>
        <v>9053.64</v>
      </c>
      <c r="J40" s="16">
        <f>3342.36+1184.46</f>
        <v>4526.82</v>
      </c>
      <c r="K40" s="16">
        <f>3498.43+1028.39</f>
        <v>4526.82</v>
      </c>
      <c r="L40" s="16">
        <v>4526.82</v>
      </c>
      <c r="M40" s="16"/>
      <c r="N40" s="16"/>
      <c r="O40" s="16">
        <f t="shared" si="5"/>
        <v>40741.38</v>
      </c>
      <c r="Y40" s="18"/>
    </row>
    <row r="41" spans="2:25" s="17" customFormat="1" ht="11.25">
      <c r="B41" s="16" t="s">
        <v>30</v>
      </c>
      <c r="C41" s="16">
        <v>1173.62</v>
      </c>
      <c r="D41" s="16">
        <v>1173.62</v>
      </c>
      <c r="E41" s="16">
        <v>1173.62</v>
      </c>
      <c r="F41" s="16">
        <v>1173.62</v>
      </c>
      <c r="G41" s="35">
        <v>1173.62</v>
      </c>
      <c r="H41" s="16">
        <v>1173.62</v>
      </c>
      <c r="I41" s="16">
        <v>1173.62</v>
      </c>
      <c r="J41" s="16">
        <v>1173.62</v>
      </c>
      <c r="K41" s="16">
        <v>1173.62</v>
      </c>
      <c r="L41" s="16">
        <v>1173.62</v>
      </c>
      <c r="M41" s="16">
        <v>1173.62</v>
      </c>
      <c r="N41" s="16"/>
      <c r="O41" s="16">
        <f t="shared" si="5"/>
        <v>12909.819999999996</v>
      </c>
      <c r="Y41" s="18"/>
    </row>
    <row r="42" spans="2:25" s="17" customFormat="1" ht="11.25">
      <c r="B42" s="16" t="s">
        <v>24</v>
      </c>
      <c r="C42" s="16">
        <v>102.36</v>
      </c>
      <c r="D42" s="16">
        <v>352.48</v>
      </c>
      <c r="E42" s="16">
        <v>117.65</v>
      </c>
      <c r="F42" s="16">
        <v>401.97</v>
      </c>
      <c r="G42" s="35"/>
      <c r="H42" s="16">
        <v>201.65</v>
      </c>
      <c r="I42" s="16">
        <v>466.28</v>
      </c>
      <c r="J42" s="16">
        <v>374.82</v>
      </c>
      <c r="K42" s="16">
        <v>202.82</v>
      </c>
      <c r="L42" s="16">
        <v>479.09</v>
      </c>
      <c r="M42" s="16">
        <v>265.18</v>
      </c>
      <c r="N42" s="16"/>
      <c r="O42" s="16">
        <f t="shared" si="5"/>
        <v>2964.3</v>
      </c>
      <c r="Y42" s="18"/>
    </row>
    <row r="43" spans="2:25" s="17" customFormat="1" ht="11.25">
      <c r="B43" s="16" t="s">
        <v>34</v>
      </c>
      <c r="C43" s="16">
        <v>3463.31</v>
      </c>
      <c r="D43" s="16">
        <v>3463.32</v>
      </c>
      <c r="E43" s="16">
        <v>3463.31</v>
      </c>
      <c r="F43" s="16">
        <v>3463.21</v>
      </c>
      <c r="G43" s="35">
        <v>3463.31</v>
      </c>
      <c r="H43" s="16">
        <v>3463.31</v>
      </c>
      <c r="I43" s="16">
        <v>3463.32</v>
      </c>
      <c r="J43" s="16">
        <v>3463.32</v>
      </c>
      <c r="K43" s="16">
        <v>3463.32</v>
      </c>
      <c r="L43" s="16">
        <v>3463.31</v>
      </c>
      <c r="M43" s="16">
        <v>3463.31</v>
      </c>
      <c r="N43" s="16"/>
      <c r="O43" s="16">
        <f t="shared" si="5"/>
        <v>38096.35</v>
      </c>
      <c r="Y43" s="18"/>
    </row>
    <row r="44" spans="2:25" s="17" customFormat="1" ht="11.25">
      <c r="B44" s="16" t="s">
        <v>35</v>
      </c>
      <c r="C44" s="16"/>
      <c r="D44" s="16"/>
      <c r="E44" s="16"/>
      <c r="F44" s="16"/>
      <c r="G44" s="35"/>
      <c r="H44" s="16">
        <f>1458.32+959.9</f>
        <v>2418.22</v>
      </c>
      <c r="I44" s="16">
        <v>1458.32</v>
      </c>
      <c r="J44" s="16">
        <f>1458.32+163.92+16.43</f>
        <v>1638.67</v>
      </c>
      <c r="K44" s="16"/>
      <c r="L44" s="16"/>
      <c r="M44" s="16"/>
      <c r="N44" s="16"/>
      <c r="O44" s="16">
        <f t="shared" si="5"/>
        <v>5515.21</v>
      </c>
      <c r="Y44" s="18"/>
    </row>
    <row r="45" spans="2:25" s="17" customFormat="1" ht="11.25">
      <c r="B45" s="16" t="s">
        <v>36</v>
      </c>
      <c r="C45" s="16"/>
      <c r="D45" s="16"/>
      <c r="E45" s="16">
        <v>25381.44</v>
      </c>
      <c r="F45" s="16"/>
      <c r="G45" s="35"/>
      <c r="H45" s="16"/>
      <c r="I45" s="16"/>
      <c r="J45" s="16"/>
      <c r="K45" s="16"/>
      <c r="L45" s="16"/>
      <c r="M45" s="16"/>
      <c r="N45" s="16"/>
      <c r="O45" s="16">
        <f t="shared" si="5"/>
        <v>25381.44</v>
      </c>
      <c r="Y45" s="18"/>
    </row>
    <row r="46" spans="2:25" s="17" customFormat="1" ht="11.25">
      <c r="B46" s="16"/>
      <c r="C46" s="16"/>
      <c r="D46" s="16"/>
      <c r="E46" s="16"/>
      <c r="F46" s="16"/>
      <c r="G46" s="35"/>
      <c r="H46" s="16"/>
      <c r="I46" s="16"/>
      <c r="J46" s="16"/>
      <c r="K46" s="16"/>
      <c r="L46" s="16"/>
      <c r="M46" s="16"/>
      <c r="N46" s="16"/>
      <c r="O46" s="16"/>
      <c r="Y46" s="18"/>
    </row>
    <row r="47" spans="2:25" s="17" customFormat="1" ht="11.25">
      <c r="B47" s="16" t="s">
        <v>107</v>
      </c>
      <c r="C47" s="16"/>
      <c r="D47" s="16"/>
      <c r="E47" s="16"/>
      <c r="F47" s="16"/>
      <c r="G47" s="35"/>
      <c r="H47" s="16"/>
      <c r="I47" s="16"/>
      <c r="J47" s="16"/>
      <c r="K47" s="16"/>
      <c r="L47" s="16"/>
      <c r="M47" s="16"/>
      <c r="N47" s="16"/>
      <c r="O47" s="16">
        <f>13209.4+495.65+322.85+1624.4+45.88+433.35</f>
        <v>16131.529999999999</v>
      </c>
      <c r="Y47" s="18"/>
    </row>
    <row r="48" spans="2:25" s="17" customFormat="1" ht="11.25" hidden="1">
      <c r="B48" s="16" t="s">
        <v>37</v>
      </c>
      <c r="C48" s="16">
        <v>322.85</v>
      </c>
      <c r="D48" s="16">
        <v>322.85</v>
      </c>
      <c r="E48" s="16">
        <v>322.85</v>
      </c>
      <c r="F48" s="16">
        <v>322.85</v>
      </c>
      <c r="G48" s="35">
        <v>322.85</v>
      </c>
      <c r="H48" s="16">
        <v>322.85</v>
      </c>
      <c r="I48" s="16">
        <v>322.85</v>
      </c>
      <c r="J48" s="16">
        <v>322.85</v>
      </c>
      <c r="K48" s="16">
        <v>322.85</v>
      </c>
      <c r="L48" s="16">
        <v>322.85</v>
      </c>
      <c r="M48" s="16"/>
      <c r="N48" s="16"/>
      <c r="O48" s="16">
        <f t="shared" si="5"/>
        <v>3228.4999999999995</v>
      </c>
      <c r="P48" s="17" t="e">
        <f>O48+O49+O50+O51+O52+#REF!+#REF!+#REF!</f>
        <v>#REF!</v>
      </c>
      <c r="Y48" s="18"/>
    </row>
    <row r="49" spans="2:25" s="17" customFormat="1" ht="11.25" hidden="1">
      <c r="B49" s="16" t="s">
        <v>38</v>
      </c>
      <c r="C49" s="16">
        <v>53.53</v>
      </c>
      <c r="D49" s="16">
        <v>91</v>
      </c>
      <c r="E49" s="16"/>
      <c r="F49" s="16">
        <v>1946.1</v>
      </c>
      <c r="G49" s="35"/>
      <c r="H49" s="16">
        <f>170+23.88</f>
        <v>193.88</v>
      </c>
      <c r="I49" s="16">
        <v>298.5</v>
      </c>
      <c r="J49" s="16">
        <f>217.65+189.09</f>
        <v>406.74</v>
      </c>
      <c r="K49" s="16">
        <v>1006.26</v>
      </c>
      <c r="L49" s="16">
        <v>3515.64</v>
      </c>
      <c r="M49" s="16"/>
      <c r="N49" s="16"/>
      <c r="O49" s="16">
        <f t="shared" si="5"/>
        <v>7511.65</v>
      </c>
      <c r="Y49" s="18"/>
    </row>
    <row r="50" spans="2:25" s="17" customFormat="1" ht="11.25" hidden="1">
      <c r="B50" s="16" t="s">
        <v>46</v>
      </c>
      <c r="C50" s="16">
        <v>28.51</v>
      </c>
      <c r="D50" s="16">
        <v>67.06</v>
      </c>
      <c r="E50" s="16">
        <v>14.59</v>
      </c>
      <c r="F50" s="16"/>
      <c r="G50" s="35"/>
      <c r="H50" s="16"/>
      <c r="I50" s="16"/>
      <c r="J50" s="16">
        <f>5.59+684+66.98</f>
        <v>756.57</v>
      </c>
      <c r="K50" s="16">
        <f>9.99+292.17</f>
        <v>302.16</v>
      </c>
      <c r="L50" s="16">
        <v>2.32</v>
      </c>
      <c r="M50" s="16"/>
      <c r="N50" s="16"/>
      <c r="O50" s="16">
        <f t="shared" si="5"/>
        <v>1171.21</v>
      </c>
      <c r="Y50" s="18"/>
    </row>
    <row r="51" spans="2:25" s="17" customFormat="1" ht="11.25" hidden="1">
      <c r="B51" s="16" t="s">
        <v>49</v>
      </c>
      <c r="C51" s="16"/>
      <c r="D51" s="16"/>
      <c r="E51" s="16">
        <v>101.53</v>
      </c>
      <c r="F51" s="16"/>
      <c r="G51" s="35"/>
      <c r="H51" s="16"/>
      <c r="I51" s="16">
        <f>58.82</f>
        <v>58.82</v>
      </c>
      <c r="J51" s="16"/>
      <c r="K51" s="16"/>
      <c r="L51" s="16"/>
      <c r="M51" s="16"/>
      <c r="N51" s="16"/>
      <c r="O51" s="16">
        <f t="shared" si="5"/>
        <v>160.35</v>
      </c>
      <c r="Y51" s="18"/>
    </row>
    <row r="52" spans="2:25" s="17" customFormat="1" ht="11.25" hidden="1">
      <c r="B52" s="16" t="s">
        <v>50</v>
      </c>
      <c r="C52" s="16"/>
      <c r="D52" s="16"/>
      <c r="E52" s="16">
        <v>147.06</v>
      </c>
      <c r="F52" s="16"/>
      <c r="G52" s="35"/>
      <c r="H52" s="16"/>
      <c r="I52" s="16"/>
      <c r="J52" s="16"/>
      <c r="K52" s="16"/>
      <c r="L52" s="16"/>
      <c r="M52" s="16"/>
      <c r="N52" s="16"/>
      <c r="O52" s="16">
        <f t="shared" si="5"/>
        <v>147.06</v>
      </c>
      <c r="Y52" s="18"/>
    </row>
    <row r="53" spans="2:25" s="17" customFormat="1" ht="11.25">
      <c r="B53" s="16" t="s">
        <v>58</v>
      </c>
      <c r="C53" s="16"/>
      <c r="D53" s="16"/>
      <c r="E53" s="16"/>
      <c r="F53" s="16">
        <v>3800</v>
      </c>
      <c r="G53" s="35"/>
      <c r="H53" s="16"/>
      <c r="I53" s="16"/>
      <c r="J53" s="16"/>
      <c r="K53" s="16"/>
      <c r="L53" s="16"/>
      <c r="M53" s="16"/>
      <c r="N53" s="16"/>
      <c r="O53" s="16">
        <f t="shared" si="5"/>
        <v>3800</v>
      </c>
      <c r="Y53" s="18"/>
    </row>
    <row r="54" spans="2:25" s="17" customFormat="1" ht="11.25">
      <c r="B54" s="16" t="s">
        <v>61</v>
      </c>
      <c r="C54" s="16"/>
      <c r="D54" s="16"/>
      <c r="E54" s="16"/>
      <c r="F54" s="16">
        <v>6000</v>
      </c>
      <c r="G54" s="35"/>
      <c r="H54" s="16"/>
      <c r="I54" s="16"/>
      <c r="J54" s="16"/>
      <c r="K54" s="16"/>
      <c r="L54" s="16"/>
      <c r="M54" s="16"/>
      <c r="N54" s="16"/>
      <c r="O54" s="16">
        <f t="shared" si="5"/>
        <v>6000</v>
      </c>
      <c r="Y54" s="18"/>
    </row>
    <row r="55" spans="2:25" s="17" customFormat="1" ht="11.25">
      <c r="B55" s="16" t="s">
        <v>90</v>
      </c>
      <c r="C55" s="16"/>
      <c r="D55" s="16"/>
      <c r="E55" s="16"/>
      <c r="F55" s="16"/>
      <c r="G55" s="35">
        <v>1000</v>
      </c>
      <c r="H55" s="16"/>
      <c r="I55" s="16"/>
      <c r="J55" s="16"/>
      <c r="K55" s="16"/>
      <c r="L55" s="16"/>
      <c r="M55" s="16"/>
      <c r="N55" s="16"/>
      <c r="O55" s="16">
        <f t="shared" si="5"/>
        <v>1000</v>
      </c>
      <c r="Y55" s="18"/>
    </row>
    <row r="56" spans="2:25" s="17" customFormat="1" ht="11.25">
      <c r="B56" s="19" t="s">
        <v>91</v>
      </c>
      <c r="C56" s="16"/>
      <c r="D56" s="16"/>
      <c r="E56" s="16"/>
      <c r="F56" s="16"/>
      <c r="G56" s="35"/>
      <c r="H56" s="16">
        <v>2000</v>
      </c>
      <c r="I56" s="16"/>
      <c r="J56" s="16"/>
      <c r="K56" s="16"/>
      <c r="L56" s="16"/>
      <c r="M56" s="16"/>
      <c r="N56" s="16"/>
      <c r="O56" s="16">
        <f t="shared" si="5"/>
        <v>2000</v>
      </c>
      <c r="Y56" s="18"/>
    </row>
    <row r="57" spans="2:25" s="17" customFormat="1" ht="11.25">
      <c r="B57" s="16" t="s">
        <v>92</v>
      </c>
      <c r="C57" s="16"/>
      <c r="D57" s="16"/>
      <c r="E57" s="16"/>
      <c r="F57" s="16"/>
      <c r="G57" s="35"/>
      <c r="H57" s="16"/>
      <c r="I57" s="16">
        <f>2500+2500</f>
        <v>5000</v>
      </c>
      <c r="J57" s="16">
        <v>1885</v>
      </c>
      <c r="K57" s="16"/>
      <c r="L57" s="16"/>
      <c r="M57" s="16"/>
      <c r="N57" s="16"/>
      <c r="O57" s="16">
        <f t="shared" si="5"/>
        <v>6885</v>
      </c>
      <c r="Y57" s="18"/>
    </row>
    <row r="58" spans="2:25" s="17" customFormat="1" ht="11.25">
      <c r="B58" s="16" t="s">
        <v>70</v>
      </c>
      <c r="C58" s="16"/>
      <c r="D58" s="16"/>
      <c r="E58" s="16"/>
      <c r="F58" s="16"/>
      <c r="G58" s="35"/>
      <c r="H58" s="16"/>
      <c r="I58" s="16"/>
      <c r="J58" s="16">
        <v>2918.87</v>
      </c>
      <c r="K58" s="16"/>
      <c r="L58" s="16"/>
      <c r="M58" s="16"/>
      <c r="N58" s="16"/>
      <c r="O58" s="16">
        <f t="shared" si="5"/>
        <v>2918.87</v>
      </c>
      <c r="Y58" s="18"/>
    </row>
    <row r="59" spans="2:25" s="17" customFormat="1" ht="11.25">
      <c r="B59" s="16" t="s">
        <v>62</v>
      </c>
      <c r="C59" s="16"/>
      <c r="D59" s="16"/>
      <c r="E59" s="16"/>
      <c r="F59" s="16"/>
      <c r="G59" s="35"/>
      <c r="H59" s="16"/>
      <c r="I59" s="16"/>
      <c r="J59" s="16"/>
      <c r="K59" s="16"/>
      <c r="L59" s="16">
        <v>14129.14</v>
      </c>
      <c r="M59" s="16"/>
      <c r="N59" s="16"/>
      <c r="O59" s="16">
        <f t="shared" si="5"/>
        <v>14129.14</v>
      </c>
      <c r="Y59" s="18"/>
    </row>
    <row r="60" spans="2:25" s="17" customFormat="1" ht="11.25">
      <c r="B60" s="16" t="s">
        <v>108</v>
      </c>
      <c r="C60" s="16"/>
      <c r="D60" s="16"/>
      <c r="E60" s="16"/>
      <c r="F60" s="16"/>
      <c r="G60" s="35"/>
      <c r="H60" s="16"/>
      <c r="I60" s="16"/>
      <c r="J60" s="16"/>
      <c r="K60" s="16"/>
      <c r="L60" s="16">
        <v>6000</v>
      </c>
      <c r="M60" s="16"/>
      <c r="N60" s="16"/>
      <c r="O60" s="16">
        <f t="shared" si="5"/>
        <v>6000</v>
      </c>
      <c r="Y60" s="18"/>
    </row>
    <row r="61" spans="2:25" s="17" customFormat="1" ht="11.25">
      <c r="B61" s="16" t="s">
        <v>130</v>
      </c>
      <c r="C61" s="16"/>
      <c r="D61" s="16"/>
      <c r="E61" s="16"/>
      <c r="F61" s="16"/>
      <c r="G61" s="35"/>
      <c r="H61" s="16"/>
      <c r="I61" s="16"/>
      <c r="J61" s="16"/>
      <c r="K61" s="16"/>
      <c r="L61" s="16"/>
      <c r="M61" s="16">
        <v>40400</v>
      </c>
      <c r="N61" s="16"/>
      <c r="O61" s="16">
        <f t="shared" si="5"/>
        <v>40400</v>
      </c>
      <c r="Y61" s="18"/>
    </row>
    <row r="62" spans="2:25" s="17" customFormat="1" ht="11.25">
      <c r="B62" s="15" t="s">
        <v>14</v>
      </c>
      <c r="C62" s="15">
        <f aca="true" t="shared" si="6" ref="C62:O62">SUM(C32:C61)</f>
        <v>66421.04000000001</v>
      </c>
      <c r="D62" s="15">
        <f t="shared" si="6"/>
        <v>71342.91</v>
      </c>
      <c r="E62" s="15">
        <f t="shared" si="6"/>
        <v>97639.51999999999</v>
      </c>
      <c r="F62" s="15">
        <f t="shared" si="6"/>
        <v>73811.9</v>
      </c>
      <c r="G62" s="36">
        <f t="shared" si="6"/>
        <v>79481.20000000001</v>
      </c>
      <c r="H62" s="15">
        <f t="shared" si="6"/>
        <v>68224.49000000002</v>
      </c>
      <c r="I62" s="15">
        <f t="shared" si="6"/>
        <v>79142.59000000003</v>
      </c>
      <c r="J62" s="15">
        <f t="shared" si="6"/>
        <v>75219.14000000001</v>
      </c>
      <c r="K62" s="15">
        <f t="shared" si="6"/>
        <v>61504.71</v>
      </c>
      <c r="L62" s="15">
        <f t="shared" si="6"/>
        <v>97286.63</v>
      </c>
      <c r="M62" s="15">
        <f t="shared" si="6"/>
        <v>71472.58</v>
      </c>
      <c r="N62" s="15">
        <f t="shared" si="6"/>
        <v>0</v>
      </c>
      <c r="O62" s="15">
        <f t="shared" si="6"/>
        <v>857678.24</v>
      </c>
      <c r="Y62" s="18"/>
    </row>
    <row r="63" ht="11.25">
      <c r="G63" s="37"/>
    </row>
    <row r="64" spans="2:15" ht="11.25">
      <c r="B64" s="20" t="s">
        <v>131</v>
      </c>
      <c r="C64" s="21">
        <f aca="true" t="shared" si="7" ref="C64:O64">C9+C24-C62</f>
        <v>67805.32999999999</v>
      </c>
      <c r="D64" s="21">
        <f t="shared" si="7"/>
        <v>65891.88999999998</v>
      </c>
      <c r="E64" s="21">
        <f t="shared" si="7"/>
        <v>54213.26999999999</v>
      </c>
      <c r="F64" s="21">
        <f t="shared" si="7"/>
        <v>49205.869999999995</v>
      </c>
      <c r="G64" s="38">
        <f t="shared" si="7"/>
        <v>41005.499999999985</v>
      </c>
      <c r="H64" s="21">
        <f t="shared" si="7"/>
        <v>62252.56999999996</v>
      </c>
      <c r="I64" s="21">
        <f t="shared" si="7"/>
        <v>56774.929999999935</v>
      </c>
      <c r="J64" s="21">
        <f t="shared" si="7"/>
        <v>44920.449999999924</v>
      </c>
      <c r="K64" s="21">
        <f t="shared" si="7"/>
        <v>58868.31999999993</v>
      </c>
      <c r="L64" s="38">
        <f t="shared" si="7"/>
        <v>34118.06999999992</v>
      </c>
      <c r="M64" s="21">
        <f t="shared" si="7"/>
        <v>-22354.510000000082</v>
      </c>
      <c r="N64" s="21">
        <f t="shared" si="7"/>
        <v>-22354.510000000082</v>
      </c>
      <c r="O64" s="42">
        <f t="shared" si="7"/>
        <v>-31624.300000000047</v>
      </c>
    </row>
    <row r="65" spans="2:15" s="3" customFormat="1" ht="11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ht="11.25">
      <c r="B66" s="2" t="s">
        <v>21</v>
      </c>
    </row>
    <row r="67" ht="11.25">
      <c r="B67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Y56"/>
  <sheetViews>
    <sheetView tabSelected="1" zoomScale="90" zoomScaleNormal="90" zoomScalePageLayoutView="0" workbookViewId="0" topLeftCell="A1">
      <pane xSplit="2" ySplit="5" topLeftCell="C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54" sqref="R54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8.62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1.25">
      <c r="B1" s="43" t="s">
        <v>105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"/>
    </row>
    <row r="2" spans="2:16" ht="11.25">
      <c r="B2" s="46" t="s">
        <v>104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</row>
    <row r="3" spans="2:15" ht="11.25">
      <c r="B3" s="46" t="s">
        <v>106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1.25">
      <c r="B4" s="46" t="s">
        <v>129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6" spans="2:15" ht="11.25">
      <c r="B6" s="5"/>
      <c r="C6" s="5"/>
      <c r="D6" s="5"/>
      <c r="E6" s="5"/>
      <c r="F6" s="5"/>
      <c r="G6" s="27"/>
      <c r="H6" s="5"/>
      <c r="I6" s="5"/>
      <c r="J6" s="5"/>
      <c r="K6" s="5"/>
      <c r="L6" s="5"/>
      <c r="M6" s="5"/>
      <c r="N6" s="5"/>
      <c r="O6" s="4"/>
    </row>
    <row r="7" spans="2:15" ht="11.25">
      <c r="B7" s="4" t="s">
        <v>39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1.25">
      <c r="B8" s="5" t="s">
        <v>13</v>
      </c>
      <c r="C8" s="5">
        <v>49281.49</v>
      </c>
      <c r="D8" s="5"/>
      <c r="E8" s="5"/>
      <c r="F8" s="5"/>
      <c r="G8" s="27"/>
      <c r="H8" s="5"/>
      <c r="I8" s="5"/>
      <c r="J8" s="5"/>
      <c r="K8" s="5"/>
      <c r="L8" s="5"/>
      <c r="M8" s="5"/>
      <c r="N8" s="5"/>
      <c r="O8" s="5">
        <f>C8+D8+E8+F8+G8+H8+I8+J8+K8+L8+M8+N8</f>
        <v>49281.49</v>
      </c>
    </row>
    <row r="9" spans="2:15" s="3" customFormat="1" ht="11.25">
      <c r="B9" s="4" t="s">
        <v>14</v>
      </c>
      <c r="C9" s="4">
        <f>C8</f>
        <v>49281.49</v>
      </c>
      <c r="D9" s="4">
        <f aca="true" t="shared" si="0" ref="D9:I9">C53</f>
        <v>47206.11</v>
      </c>
      <c r="E9" s="4">
        <f t="shared" si="0"/>
        <v>49369.78</v>
      </c>
      <c r="F9" s="4">
        <f t="shared" si="0"/>
        <v>42771.060000000005</v>
      </c>
      <c r="G9" s="28">
        <f t="shared" si="0"/>
        <v>44934.880000000005</v>
      </c>
      <c r="H9" s="4">
        <f t="shared" si="0"/>
        <v>51550.5</v>
      </c>
      <c r="I9" s="4">
        <f t="shared" si="0"/>
        <v>55550.94</v>
      </c>
      <c r="J9" s="4">
        <f>I53</f>
        <v>58035.32</v>
      </c>
      <c r="K9" s="4">
        <f>J53</f>
        <v>21530.589999999997</v>
      </c>
      <c r="L9" s="4">
        <f>K53</f>
        <v>24917.239999999994</v>
      </c>
      <c r="M9" s="4">
        <f>L53</f>
        <v>27473.859999999993</v>
      </c>
      <c r="N9" s="4">
        <f>M53</f>
        <v>27473.859999999993</v>
      </c>
      <c r="O9" s="4">
        <f>O8</f>
        <v>49281.49</v>
      </c>
    </row>
    <row r="10" spans="2:15" ht="11.25">
      <c r="B10" s="5"/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1.25">
      <c r="B11" s="5"/>
      <c r="C11" s="5"/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4"/>
    </row>
    <row r="12" spans="2:25" s="10" customFormat="1" ht="11.25">
      <c r="B12" s="8" t="s">
        <v>15</v>
      </c>
      <c r="C12" s="9"/>
      <c r="D12" s="9"/>
      <c r="E12" s="9"/>
      <c r="F12" s="9"/>
      <c r="G12" s="29"/>
      <c r="H12" s="9"/>
      <c r="I12" s="9"/>
      <c r="J12" s="9"/>
      <c r="K12" s="9"/>
      <c r="L12" s="9"/>
      <c r="M12" s="9"/>
      <c r="N12" s="9"/>
      <c r="O12" s="8"/>
      <c r="Y12" s="11"/>
    </row>
    <row r="13" spans="2:25" s="10" customFormat="1" ht="11.25">
      <c r="B13" s="9" t="s">
        <v>13</v>
      </c>
      <c r="C13" s="9">
        <v>15615.13</v>
      </c>
      <c r="D13" s="9">
        <v>15615.13</v>
      </c>
      <c r="E13" s="9">
        <v>15615.13</v>
      </c>
      <c r="F13" s="9">
        <v>15615.13</v>
      </c>
      <c r="G13" s="9">
        <v>15615.13</v>
      </c>
      <c r="H13" s="9">
        <v>15615.13</v>
      </c>
      <c r="I13" s="9">
        <v>15615.13</v>
      </c>
      <c r="J13" s="9">
        <v>15615.13</v>
      </c>
      <c r="K13" s="9">
        <v>15615.13</v>
      </c>
      <c r="L13" s="9">
        <v>15615.13</v>
      </c>
      <c r="M13" s="9"/>
      <c r="N13" s="9"/>
      <c r="O13" s="9">
        <f>C13+D13+E13+F13+G13+H13+I13+J13+K13+L13+M13+N13</f>
        <v>156151.30000000002</v>
      </c>
      <c r="Y13" s="11"/>
    </row>
    <row r="14" spans="2:25" s="10" customFormat="1" ht="11.25">
      <c r="B14" s="16"/>
      <c r="C14" s="9"/>
      <c r="D14" s="9"/>
      <c r="E14" s="9"/>
      <c r="F14" s="9"/>
      <c r="G14" s="29"/>
      <c r="H14" s="9"/>
      <c r="I14" s="9"/>
      <c r="J14" s="9"/>
      <c r="K14" s="9"/>
      <c r="L14" s="9"/>
      <c r="M14" s="9"/>
      <c r="N14" s="9"/>
      <c r="O14" s="9"/>
      <c r="Y14" s="11"/>
    </row>
    <row r="15" spans="2:15" s="11" customFormat="1" ht="11.25">
      <c r="B15" s="8" t="s">
        <v>14</v>
      </c>
      <c r="C15" s="8">
        <f aca="true" t="shared" si="1" ref="C15:N15">SUM(C11:C13)</f>
        <v>15615.13</v>
      </c>
      <c r="D15" s="8">
        <f t="shared" si="1"/>
        <v>15615.13</v>
      </c>
      <c r="E15" s="8">
        <f t="shared" si="1"/>
        <v>15615.13</v>
      </c>
      <c r="F15" s="8">
        <f t="shared" si="1"/>
        <v>15615.13</v>
      </c>
      <c r="G15" s="30">
        <f t="shared" si="1"/>
        <v>15615.13</v>
      </c>
      <c r="H15" s="8">
        <f t="shared" si="1"/>
        <v>15615.13</v>
      </c>
      <c r="I15" s="8">
        <f t="shared" si="1"/>
        <v>15615.13</v>
      </c>
      <c r="J15" s="8">
        <f t="shared" si="1"/>
        <v>15615.13</v>
      </c>
      <c r="K15" s="8">
        <f t="shared" si="1"/>
        <v>15615.13</v>
      </c>
      <c r="L15" s="8">
        <f t="shared" si="1"/>
        <v>15615.13</v>
      </c>
      <c r="M15" s="8">
        <f t="shared" si="1"/>
        <v>0</v>
      </c>
      <c r="N15" s="8">
        <f t="shared" si="1"/>
        <v>0</v>
      </c>
      <c r="O15" s="8">
        <f>C15+D15+E15+F15+G15+H15+I15+J15+K15+L15+M15+N15</f>
        <v>156151.30000000002</v>
      </c>
    </row>
    <row r="16" spans="2:15" ht="11.25">
      <c r="B16" s="5"/>
      <c r="C16" s="5"/>
      <c r="D16" s="5"/>
      <c r="E16" s="5"/>
      <c r="F16" s="5"/>
      <c r="G16" s="27"/>
      <c r="H16" s="5"/>
      <c r="I16" s="5"/>
      <c r="J16" s="5"/>
      <c r="K16" s="5"/>
      <c r="L16" s="5"/>
      <c r="M16" s="5"/>
      <c r="N16" s="5"/>
      <c r="O16" s="4"/>
    </row>
    <row r="17" spans="2:25" s="25" customFormat="1" ht="11.25">
      <c r="B17" s="23" t="s">
        <v>16</v>
      </c>
      <c r="C17" s="24"/>
      <c r="D17" s="24"/>
      <c r="E17" s="24"/>
      <c r="F17" s="24"/>
      <c r="G17" s="31"/>
      <c r="H17" s="24"/>
      <c r="I17" s="24"/>
      <c r="J17" s="24"/>
      <c r="K17" s="24"/>
      <c r="L17" s="24"/>
      <c r="M17" s="24"/>
      <c r="N17" s="24"/>
      <c r="O17" s="23"/>
      <c r="Y17" s="26"/>
    </row>
    <row r="18" spans="2:25" s="25" customFormat="1" ht="11.25">
      <c r="B18" s="24" t="s">
        <v>13</v>
      </c>
      <c r="C18" s="24">
        <v>12042.58</v>
      </c>
      <c r="D18" s="24">
        <v>15024.85</v>
      </c>
      <c r="E18" s="24">
        <v>15166.91</v>
      </c>
      <c r="F18" s="24">
        <v>14251.05</v>
      </c>
      <c r="G18" s="31">
        <v>20340.03</v>
      </c>
      <c r="H18" s="24">
        <v>16178.58</v>
      </c>
      <c r="I18" s="24">
        <v>16390.17</v>
      </c>
      <c r="J18" s="24">
        <f>11176.23+1891.35</f>
        <v>13067.58</v>
      </c>
      <c r="K18" s="24">
        <v>15999.23</v>
      </c>
      <c r="L18" s="24">
        <f>14198.97+3000</f>
        <v>17198.97</v>
      </c>
      <c r="M18" s="24"/>
      <c r="N18" s="24"/>
      <c r="O18" s="24">
        <f>C18+D18+E18+F18+G18+H18+I18+J18+K18+L18+M18+N18</f>
        <v>155659.95</v>
      </c>
      <c r="Y18" s="26"/>
    </row>
    <row r="19" spans="2:25" s="25" customFormat="1" ht="11.25">
      <c r="B19" s="16"/>
      <c r="C19" s="24"/>
      <c r="D19" s="24"/>
      <c r="E19" s="24"/>
      <c r="F19" s="24"/>
      <c r="G19" s="31"/>
      <c r="H19" s="24"/>
      <c r="I19" s="24"/>
      <c r="J19" s="24"/>
      <c r="K19" s="24"/>
      <c r="L19" s="24"/>
      <c r="M19" s="24"/>
      <c r="N19" s="24"/>
      <c r="O19" s="24"/>
      <c r="Y19" s="26"/>
    </row>
    <row r="20" spans="2:15" s="26" customFormat="1" ht="11.25">
      <c r="B20" s="23" t="s">
        <v>14</v>
      </c>
      <c r="C20" s="23">
        <f aca="true" t="shared" si="2" ref="C20:O20">SUM(C18:C19)</f>
        <v>12042.58</v>
      </c>
      <c r="D20" s="23">
        <f t="shared" si="2"/>
        <v>15024.85</v>
      </c>
      <c r="E20" s="23">
        <f t="shared" si="2"/>
        <v>15166.91</v>
      </c>
      <c r="F20" s="23">
        <f t="shared" si="2"/>
        <v>14251.05</v>
      </c>
      <c r="G20" s="32">
        <f t="shared" si="2"/>
        <v>20340.03</v>
      </c>
      <c r="H20" s="23">
        <f t="shared" si="2"/>
        <v>16178.58</v>
      </c>
      <c r="I20" s="23">
        <f t="shared" si="2"/>
        <v>16390.17</v>
      </c>
      <c r="J20" s="23">
        <f t="shared" si="2"/>
        <v>13067.58</v>
      </c>
      <c r="K20" s="23">
        <f t="shared" si="2"/>
        <v>15999.23</v>
      </c>
      <c r="L20" s="23">
        <f t="shared" si="2"/>
        <v>17198.97</v>
      </c>
      <c r="M20" s="23">
        <f t="shared" si="2"/>
        <v>0</v>
      </c>
      <c r="N20" s="23">
        <f t="shared" si="2"/>
        <v>0</v>
      </c>
      <c r="O20" s="23">
        <f t="shared" si="2"/>
        <v>155659.95</v>
      </c>
    </row>
    <row r="21" spans="2:15" ht="11.25">
      <c r="B21" s="5"/>
      <c r="C21" s="5"/>
      <c r="D21" s="5"/>
      <c r="E21" s="5"/>
      <c r="F21" s="5"/>
      <c r="G21" s="27"/>
      <c r="H21" s="5"/>
      <c r="I21" s="5"/>
      <c r="J21" s="5"/>
      <c r="K21" s="5"/>
      <c r="L21" s="5"/>
      <c r="M21" s="5"/>
      <c r="N21" s="5"/>
      <c r="O21" s="4"/>
    </row>
    <row r="22" spans="2:15" ht="11.25">
      <c r="B22" s="4" t="s">
        <v>17</v>
      </c>
      <c r="C22" s="12">
        <f aca="true" t="shared" si="3" ref="C22:O22">C20/C15</f>
        <v>0.7712122793726341</v>
      </c>
      <c r="D22" s="12">
        <f t="shared" si="3"/>
        <v>0.962198201359835</v>
      </c>
      <c r="E22" s="12">
        <f t="shared" si="3"/>
        <v>0.9712957881234419</v>
      </c>
      <c r="F22" s="12">
        <f t="shared" si="3"/>
        <v>0.9126436987716401</v>
      </c>
      <c r="G22" s="33">
        <f t="shared" si="3"/>
        <v>1.3025847367264953</v>
      </c>
      <c r="H22" s="12">
        <f t="shared" si="3"/>
        <v>1.0360835932842059</v>
      </c>
      <c r="I22" s="12">
        <f t="shared" si="3"/>
        <v>1.0496339127500058</v>
      </c>
      <c r="J22" s="12">
        <f t="shared" si="3"/>
        <v>0.8368537437728665</v>
      </c>
      <c r="K22" s="12">
        <f t="shared" si="3"/>
        <v>1.024597938025492</v>
      </c>
      <c r="L22" s="12">
        <f t="shared" si="3"/>
        <v>1.10142983119577</v>
      </c>
      <c r="M22" s="12" t="e">
        <f t="shared" si="3"/>
        <v>#DIV/0!</v>
      </c>
      <c r="N22" s="12" t="e">
        <f t="shared" si="3"/>
        <v>#DIV/0!</v>
      </c>
      <c r="O22" s="13">
        <f t="shared" si="3"/>
        <v>0.9968533723382386</v>
      </c>
    </row>
    <row r="23" spans="2:15" ht="11.25">
      <c r="B23" s="4"/>
      <c r="C23" s="12"/>
      <c r="D23" s="12"/>
      <c r="E23" s="12"/>
      <c r="F23" s="12"/>
      <c r="G23" s="33"/>
      <c r="H23" s="12"/>
      <c r="I23" s="12"/>
      <c r="J23" s="12"/>
      <c r="K23" s="12"/>
      <c r="L23" s="12"/>
      <c r="M23" s="12"/>
      <c r="N23" s="12"/>
      <c r="O23" s="14"/>
    </row>
    <row r="24" spans="2:15" ht="11.25">
      <c r="B24" s="4" t="s">
        <v>18</v>
      </c>
      <c r="C24" s="7">
        <f aca="true" t="shared" si="4" ref="C24:O24">C15-C20</f>
        <v>3572.5499999999993</v>
      </c>
      <c r="D24" s="7">
        <f t="shared" si="4"/>
        <v>590.2799999999988</v>
      </c>
      <c r="E24" s="7">
        <f t="shared" si="4"/>
        <v>448.21999999999935</v>
      </c>
      <c r="F24" s="7">
        <f t="shared" si="4"/>
        <v>1364.08</v>
      </c>
      <c r="G24" s="34">
        <f t="shared" si="4"/>
        <v>-4724.9</v>
      </c>
      <c r="H24" s="7">
        <f t="shared" si="4"/>
        <v>-563.4500000000007</v>
      </c>
      <c r="I24" s="7">
        <f t="shared" si="4"/>
        <v>-775.039999999999</v>
      </c>
      <c r="J24" s="7">
        <f t="shared" si="4"/>
        <v>2547.5499999999993</v>
      </c>
      <c r="K24" s="7">
        <f t="shared" si="4"/>
        <v>-384.10000000000036</v>
      </c>
      <c r="L24" s="7">
        <f t="shared" si="4"/>
        <v>-1583.840000000002</v>
      </c>
      <c r="M24" s="7">
        <f t="shared" si="4"/>
        <v>0</v>
      </c>
      <c r="N24" s="7">
        <f t="shared" si="4"/>
        <v>0</v>
      </c>
      <c r="O24" s="7">
        <f t="shared" si="4"/>
        <v>491.3500000000058</v>
      </c>
    </row>
    <row r="25" spans="2:15" ht="11.25">
      <c r="B25" s="5"/>
      <c r="C25" s="5"/>
      <c r="D25" s="5"/>
      <c r="E25" s="5"/>
      <c r="F25" s="5"/>
      <c r="G25" s="27"/>
      <c r="H25" s="5"/>
      <c r="I25" s="5"/>
      <c r="J25" s="5"/>
      <c r="K25" s="5"/>
      <c r="L25" s="5"/>
      <c r="M25" s="5"/>
      <c r="N25" s="5"/>
      <c r="O25" s="4"/>
    </row>
    <row r="26" spans="2:25" s="17" customFormat="1" ht="11.25">
      <c r="B26" s="15" t="s">
        <v>19</v>
      </c>
      <c r="C26" s="16"/>
      <c r="D26" s="16"/>
      <c r="E26" s="16"/>
      <c r="F26" s="16"/>
      <c r="G26" s="35"/>
      <c r="H26" s="16"/>
      <c r="I26" s="16"/>
      <c r="J26" s="16"/>
      <c r="K26" s="16"/>
      <c r="L26" s="16"/>
      <c r="M26" s="16"/>
      <c r="N26" s="16"/>
      <c r="O26" s="15"/>
      <c r="Y26" s="18"/>
    </row>
    <row r="27" spans="2:25" s="17" customFormat="1" ht="11.25">
      <c r="B27" s="16"/>
      <c r="C27" s="16"/>
      <c r="D27" s="16"/>
      <c r="E27" s="16"/>
      <c r="F27" s="16"/>
      <c r="G27" s="35"/>
      <c r="H27" s="16"/>
      <c r="I27" s="16"/>
      <c r="J27" s="16"/>
      <c r="K27" s="16"/>
      <c r="L27" s="16"/>
      <c r="M27" s="16"/>
      <c r="N27" s="16"/>
      <c r="O27" s="15"/>
      <c r="Y27" s="18"/>
    </row>
    <row r="28" spans="2:25" s="17" customFormat="1" ht="11.25">
      <c r="B28" s="16" t="s">
        <v>20</v>
      </c>
      <c r="C28" s="16">
        <v>111.09</v>
      </c>
      <c r="D28" s="16">
        <v>288.69</v>
      </c>
      <c r="E28" s="16">
        <v>432.39</v>
      </c>
      <c r="F28" s="16">
        <v>402.63</v>
      </c>
      <c r="G28" s="35">
        <v>653.28</v>
      </c>
      <c r="H28" s="16">
        <v>715.08</v>
      </c>
      <c r="I28" s="16">
        <v>437.1</v>
      </c>
      <c r="J28" s="16">
        <v>301.53</v>
      </c>
      <c r="K28" s="16">
        <v>336.53</v>
      </c>
      <c r="L28" s="16">
        <v>818.28</v>
      </c>
      <c r="M28" s="16"/>
      <c r="N28" s="16"/>
      <c r="O28" s="16">
        <f aca="true" t="shared" si="5" ref="O28:O41">C28+D28+E28+F28+G28+H28+I28+J28+K28+L28+M28+N28</f>
        <v>4496.599999999999</v>
      </c>
      <c r="Y28" s="18"/>
    </row>
    <row r="29" spans="2:25" s="17" customFormat="1" ht="11.25">
      <c r="B29" s="16" t="s">
        <v>32</v>
      </c>
      <c r="C29" s="16">
        <f>5608.4+137.12</f>
        <v>5745.5199999999995</v>
      </c>
      <c r="D29" s="16">
        <f>5471.29+373.81</f>
        <v>5845.1</v>
      </c>
      <c r="E29" s="16">
        <v>5608.4</v>
      </c>
      <c r="F29" s="16">
        <v>5608.4</v>
      </c>
      <c r="G29" s="35">
        <v>5608.4</v>
      </c>
      <c r="H29" s="16">
        <v>5608.4</v>
      </c>
      <c r="I29" s="16">
        <v>5608.4</v>
      </c>
      <c r="J29" s="16">
        <v>5608.4</v>
      </c>
      <c r="K29" s="16">
        <v>5608.4</v>
      </c>
      <c r="L29" s="16">
        <v>5608.4</v>
      </c>
      <c r="M29" s="16"/>
      <c r="N29" s="16"/>
      <c r="O29" s="16">
        <f t="shared" si="5"/>
        <v>56457.82000000001</v>
      </c>
      <c r="Y29" s="18"/>
    </row>
    <row r="30" spans="2:25" s="17" customFormat="1" ht="11.25">
      <c r="B30" s="16" t="s">
        <v>26</v>
      </c>
      <c r="C30" s="16">
        <f>2155.27+923.87</f>
        <v>3079.14</v>
      </c>
      <c r="D30" s="16">
        <f>1652.19+557.84</f>
        <v>2210.03</v>
      </c>
      <c r="E30" s="16">
        <f>1652.19+557.84</f>
        <v>2210.03</v>
      </c>
      <c r="F30" s="16">
        <f>723.26+822.71+557.84</f>
        <v>2103.81</v>
      </c>
      <c r="G30" s="35">
        <f>829.48+1652.19</f>
        <v>2481.67</v>
      </c>
      <c r="H30" s="16">
        <f>1271.75+1652.19+557.84</f>
        <v>3481.78</v>
      </c>
      <c r="I30" s="16">
        <f>1652.19+557.84</f>
        <v>2210.03</v>
      </c>
      <c r="J30" s="16">
        <f>1652.19+557.84</f>
        <v>2210.03</v>
      </c>
      <c r="K30" s="16">
        <f>1652.19+557.84</f>
        <v>2210.03</v>
      </c>
      <c r="L30" s="16">
        <f>1652.19+557.84</f>
        <v>2210.03</v>
      </c>
      <c r="M30" s="16"/>
      <c r="N30" s="16"/>
      <c r="O30" s="16">
        <f t="shared" si="5"/>
        <v>24406.579999999998</v>
      </c>
      <c r="Y30" s="18"/>
    </row>
    <row r="31" spans="2:25" s="17" customFormat="1" ht="11.25">
      <c r="B31" s="16" t="s">
        <v>27</v>
      </c>
      <c r="C31" s="16">
        <f>826.29+2642.93</f>
        <v>3469.22</v>
      </c>
      <c r="D31" s="16">
        <f>274.24+2642.93</f>
        <v>2917.17</v>
      </c>
      <c r="E31" s="16">
        <v>2642.93</v>
      </c>
      <c r="F31" s="16">
        <v>822.71</v>
      </c>
      <c r="G31" s="35">
        <f>1820.22+1371.18+557.84</f>
        <v>3749.2400000000002</v>
      </c>
      <c r="H31" s="16">
        <f>1371.18</f>
        <v>1371.18</v>
      </c>
      <c r="I31" s="16">
        <f>1271.75+1371.18</f>
        <v>2642.9300000000003</v>
      </c>
      <c r="J31" s="16">
        <f>2940.53+66.56</f>
        <v>3007.09</v>
      </c>
      <c r="K31" s="16">
        <f>2940.53+66.56</f>
        <v>3007.09</v>
      </c>
      <c r="L31" s="16">
        <f>2940.53+66.56+1271.75</f>
        <v>4278.84</v>
      </c>
      <c r="M31" s="16"/>
      <c r="N31" s="16"/>
      <c r="O31" s="16">
        <f t="shared" si="5"/>
        <v>27908.399999999998</v>
      </c>
      <c r="Y31" s="18"/>
    </row>
    <row r="32" spans="2:25" s="17" customFormat="1" ht="11.25">
      <c r="B32" s="16" t="s">
        <v>23</v>
      </c>
      <c r="C32" s="16">
        <v>362.92</v>
      </c>
      <c r="D32" s="16"/>
      <c r="E32" s="16"/>
      <c r="F32" s="16"/>
      <c r="G32" s="35"/>
      <c r="H32" s="16"/>
      <c r="I32" s="16"/>
      <c r="J32" s="16"/>
      <c r="K32" s="16"/>
      <c r="L32" s="16"/>
      <c r="M32" s="16"/>
      <c r="N32" s="16"/>
      <c r="O32" s="16">
        <f t="shared" si="5"/>
        <v>362.92</v>
      </c>
      <c r="Y32" s="18"/>
    </row>
    <row r="33" spans="2:25" s="17" customFormat="1" ht="11.25">
      <c r="B33" s="19" t="s">
        <v>28</v>
      </c>
      <c r="C33" s="16">
        <v>15.89</v>
      </c>
      <c r="D33" s="16">
        <v>15.89</v>
      </c>
      <c r="E33" s="16">
        <v>15.89</v>
      </c>
      <c r="F33" s="16">
        <v>15.89</v>
      </c>
      <c r="G33" s="35"/>
      <c r="H33" s="16"/>
      <c r="I33" s="16">
        <v>15.89</v>
      </c>
      <c r="J33" s="16">
        <v>15.89</v>
      </c>
      <c r="K33" s="16">
        <v>15.89</v>
      </c>
      <c r="L33" s="16">
        <v>15.89</v>
      </c>
      <c r="M33" s="16"/>
      <c r="N33" s="16"/>
      <c r="O33" s="16">
        <f t="shared" si="5"/>
        <v>127.12</v>
      </c>
      <c r="Y33" s="18"/>
    </row>
    <row r="34" spans="2:25" s="17" customFormat="1" ht="11.25">
      <c r="B34" s="16" t="s">
        <v>29</v>
      </c>
      <c r="C34" s="16"/>
      <c r="D34" s="16"/>
      <c r="E34" s="16"/>
      <c r="F34" s="16"/>
      <c r="G34" s="35"/>
      <c r="H34" s="16"/>
      <c r="I34" s="16"/>
      <c r="J34" s="16"/>
      <c r="K34" s="16"/>
      <c r="L34" s="16"/>
      <c r="M34" s="16"/>
      <c r="N34" s="16"/>
      <c r="O34" s="16">
        <f t="shared" si="5"/>
        <v>0</v>
      </c>
      <c r="Y34" s="18"/>
    </row>
    <row r="35" spans="2:25" s="17" customFormat="1" ht="11.25">
      <c r="B35" s="16" t="s">
        <v>25</v>
      </c>
      <c r="C35" s="16"/>
      <c r="D35" s="16"/>
      <c r="E35" s="16"/>
      <c r="F35" s="16"/>
      <c r="G35" s="35"/>
      <c r="H35" s="16"/>
      <c r="I35" s="16"/>
      <c r="J35" s="16"/>
      <c r="K35" s="16"/>
      <c r="L35" s="16"/>
      <c r="M35" s="16"/>
      <c r="N35" s="16"/>
      <c r="O35" s="16">
        <f t="shared" si="5"/>
        <v>0</v>
      </c>
      <c r="Y35" s="18"/>
    </row>
    <row r="36" spans="2:25" s="17" customFormat="1" ht="11.25">
      <c r="B36" s="16" t="s">
        <v>31</v>
      </c>
      <c r="C36" s="16">
        <f>868.26+109.95</f>
        <v>978.21</v>
      </c>
      <c r="D36" s="16">
        <f>604.41+373.8</f>
        <v>978.21</v>
      </c>
      <c r="E36" s="16"/>
      <c r="F36" s="16">
        <f>687.8+290.41</f>
        <v>978.21</v>
      </c>
      <c r="G36" s="35">
        <f>688.77+289.44</f>
        <v>978.21</v>
      </c>
      <c r="H36" s="16"/>
      <c r="I36" s="16">
        <f>675.09+650.31+303.12+327.9</f>
        <v>1956.42</v>
      </c>
      <c r="J36" s="16">
        <f>722.26+255.95</f>
        <v>978.21</v>
      </c>
      <c r="K36" s="16">
        <f>755.98+222.23</f>
        <v>978.21</v>
      </c>
      <c r="L36" s="16">
        <v>978.21</v>
      </c>
      <c r="M36" s="16"/>
      <c r="N36" s="16"/>
      <c r="O36" s="16">
        <f t="shared" si="5"/>
        <v>8803.89</v>
      </c>
      <c r="Y36" s="18"/>
    </row>
    <row r="37" spans="2:25" s="17" customFormat="1" ht="11.25">
      <c r="B37" s="16" t="s">
        <v>30</v>
      </c>
      <c r="C37" s="16">
        <v>253.61</v>
      </c>
      <c r="D37" s="16">
        <v>253.61</v>
      </c>
      <c r="E37" s="16">
        <v>253.61</v>
      </c>
      <c r="F37" s="16">
        <v>253.61</v>
      </c>
      <c r="G37" s="35">
        <v>253.61</v>
      </c>
      <c r="H37" s="16">
        <v>253.61</v>
      </c>
      <c r="I37" s="16">
        <v>253.61</v>
      </c>
      <c r="J37" s="16">
        <v>253.61</v>
      </c>
      <c r="K37" s="16">
        <v>253.61</v>
      </c>
      <c r="L37" s="16">
        <v>253.61</v>
      </c>
      <c r="M37" s="16"/>
      <c r="N37" s="16"/>
      <c r="O37" s="16">
        <f t="shared" si="5"/>
        <v>2536.100000000001</v>
      </c>
      <c r="Y37" s="18"/>
    </row>
    <row r="38" spans="2:25" s="17" customFormat="1" ht="11.25">
      <c r="B38" s="16" t="s">
        <v>24</v>
      </c>
      <c r="C38" s="16">
        <v>102.36</v>
      </c>
      <c r="D38" s="16">
        <v>352.48</v>
      </c>
      <c r="E38" s="16">
        <v>117.65</v>
      </c>
      <c r="F38" s="16">
        <v>401.97</v>
      </c>
      <c r="G38" s="35"/>
      <c r="H38" s="16">
        <v>201.65</v>
      </c>
      <c r="I38" s="16">
        <v>466.28</v>
      </c>
      <c r="J38" s="16">
        <v>374.82</v>
      </c>
      <c r="K38" s="16">
        <v>202.82</v>
      </c>
      <c r="L38" s="16">
        <v>479.09</v>
      </c>
      <c r="M38" s="16"/>
      <c r="N38" s="16"/>
      <c r="O38" s="16">
        <f t="shared" si="5"/>
        <v>2699.1200000000003</v>
      </c>
      <c r="Y38" s="18"/>
    </row>
    <row r="39" spans="2:25" s="17" customFormat="1" ht="11.25">
      <c r="B39" s="16" t="s">
        <v>34</v>
      </c>
      <c r="C39" s="16"/>
      <c r="D39" s="16"/>
      <c r="E39" s="16"/>
      <c r="F39" s="16"/>
      <c r="G39" s="35"/>
      <c r="H39" s="16"/>
      <c r="I39" s="16"/>
      <c r="J39" s="16"/>
      <c r="K39" s="16"/>
      <c r="L39" s="16"/>
      <c r="M39" s="16"/>
      <c r="N39" s="16"/>
      <c r="O39" s="16">
        <f t="shared" si="5"/>
        <v>0</v>
      </c>
      <c r="Y39" s="18"/>
    </row>
    <row r="40" spans="2:25" s="17" customFormat="1" ht="11.25">
      <c r="B40" s="16" t="s">
        <v>35</v>
      </c>
      <c r="C40" s="16"/>
      <c r="D40" s="16"/>
      <c r="E40" s="16"/>
      <c r="F40" s="16"/>
      <c r="G40" s="35"/>
      <c r="H40" s="16">
        <f>315.13+207.43+23.88</f>
        <v>546.4399999999999</v>
      </c>
      <c r="I40" s="16">
        <v>315.13</v>
      </c>
      <c r="J40" s="16">
        <f>315.13+35.43+16.43</f>
        <v>366.99</v>
      </c>
      <c r="K40" s="16"/>
      <c r="L40" s="16"/>
      <c r="M40" s="16"/>
      <c r="N40" s="16"/>
      <c r="O40" s="16">
        <f t="shared" si="5"/>
        <v>1228.56</v>
      </c>
      <c r="Y40" s="18"/>
    </row>
    <row r="41" spans="2:25" s="17" customFormat="1" ht="11.25">
      <c r="B41" s="16" t="s">
        <v>36</v>
      </c>
      <c r="C41" s="16"/>
      <c r="D41" s="16"/>
      <c r="E41" s="16">
        <v>5484.73</v>
      </c>
      <c r="F41" s="16"/>
      <c r="G41" s="35"/>
      <c r="H41" s="16"/>
      <c r="I41" s="16"/>
      <c r="J41" s="16"/>
      <c r="K41" s="16"/>
      <c r="L41" s="16"/>
      <c r="M41" s="16"/>
      <c r="N41" s="16"/>
      <c r="O41" s="16">
        <f t="shared" si="5"/>
        <v>5484.73</v>
      </c>
      <c r="Y41" s="18"/>
    </row>
    <row r="42" spans="2:25" s="17" customFormat="1" ht="11.25">
      <c r="B42" s="16"/>
      <c r="C42" s="16"/>
      <c r="D42" s="16"/>
      <c r="E42" s="16"/>
      <c r="F42" s="16"/>
      <c r="G42" s="35"/>
      <c r="H42" s="16"/>
      <c r="I42" s="16"/>
      <c r="J42" s="16"/>
      <c r="K42" s="16"/>
      <c r="L42" s="16"/>
      <c r="M42" s="16"/>
      <c r="N42" s="16"/>
      <c r="O42" s="16"/>
      <c r="Y42" s="18"/>
    </row>
    <row r="43" spans="2:25" s="17" customFormat="1" ht="11.25">
      <c r="B43" s="16" t="s">
        <v>107</v>
      </c>
      <c r="C43" s="16"/>
      <c r="D43" s="16"/>
      <c r="E43" s="16"/>
      <c r="F43" s="16"/>
      <c r="G43" s="35"/>
      <c r="H43" s="16"/>
      <c r="I43" s="16"/>
      <c r="J43" s="16"/>
      <c r="K43" s="16"/>
      <c r="L43" s="16"/>
      <c r="M43" s="16"/>
      <c r="N43" s="16"/>
      <c r="O43" s="16">
        <v>6513.86</v>
      </c>
      <c r="Y43" s="18"/>
    </row>
    <row r="44" spans="2:25" s="17" customFormat="1" ht="11.25">
      <c r="B44" s="16" t="s">
        <v>52</v>
      </c>
      <c r="C44" s="16"/>
      <c r="D44" s="16"/>
      <c r="E44" s="16">
        <v>5000</v>
      </c>
      <c r="F44" s="16"/>
      <c r="G44" s="35"/>
      <c r="H44" s="16"/>
      <c r="I44" s="16"/>
      <c r="J44" s="16"/>
      <c r="K44" s="16"/>
      <c r="L44" s="16"/>
      <c r="M44" s="16"/>
      <c r="N44" s="16"/>
      <c r="O44" s="16">
        <f aca="true" t="shared" si="6" ref="O44:O50">C44+D44+E44+F44+G44+H44+I44+J44+K44+L44+M44+N44</f>
        <v>5000</v>
      </c>
      <c r="Y44" s="18"/>
    </row>
    <row r="45" spans="2:25" s="17" customFormat="1" ht="11.25">
      <c r="B45" s="16" t="s">
        <v>58</v>
      </c>
      <c r="C45" s="16"/>
      <c r="D45" s="16"/>
      <c r="E45" s="16"/>
      <c r="F45" s="16">
        <v>1500</v>
      </c>
      <c r="G45" s="35"/>
      <c r="H45" s="16"/>
      <c r="I45" s="16"/>
      <c r="J45" s="16"/>
      <c r="K45" s="16"/>
      <c r="L45" s="16"/>
      <c r="M45" s="16"/>
      <c r="N45" s="16"/>
      <c r="O45" s="16">
        <f t="shared" si="6"/>
        <v>1500</v>
      </c>
      <c r="Y45" s="18"/>
    </row>
    <row r="46" spans="2:25" s="17" customFormat="1" ht="11.25">
      <c r="B46" s="19" t="s">
        <v>93</v>
      </c>
      <c r="C46" s="16"/>
      <c r="D46" s="16"/>
      <c r="E46" s="16"/>
      <c r="F46" s="16"/>
      <c r="G46" s="35"/>
      <c r="H46" s="16"/>
      <c r="I46" s="16"/>
      <c r="J46" s="16">
        <f>24500+11325</f>
        <v>35825</v>
      </c>
      <c r="K46" s="16"/>
      <c r="L46" s="16"/>
      <c r="M46" s="16"/>
      <c r="N46" s="16"/>
      <c r="O46" s="16">
        <f t="shared" si="6"/>
        <v>35825</v>
      </c>
      <c r="Y46" s="18"/>
    </row>
    <row r="47" spans="2:25" s="17" customFormat="1" ht="11.25">
      <c r="B47" s="16" t="s">
        <v>70</v>
      </c>
      <c r="C47" s="16"/>
      <c r="D47" s="16"/>
      <c r="E47" s="16"/>
      <c r="F47" s="16"/>
      <c r="G47" s="35"/>
      <c r="H47" s="16"/>
      <c r="I47" s="16"/>
      <c r="J47" s="16">
        <v>630.74</v>
      </c>
      <c r="K47" s="16"/>
      <c r="L47" s="16"/>
      <c r="M47" s="16"/>
      <c r="N47" s="16"/>
      <c r="O47" s="16">
        <f t="shared" si="6"/>
        <v>630.74</v>
      </c>
      <c r="Y47" s="18"/>
    </row>
    <row r="48" spans="2:25" s="17" customFormat="1" ht="11.25">
      <c r="B48" s="16"/>
      <c r="C48" s="16"/>
      <c r="D48" s="16"/>
      <c r="E48" s="16"/>
      <c r="F48" s="16"/>
      <c r="G48" s="35"/>
      <c r="H48" s="16"/>
      <c r="I48" s="16"/>
      <c r="J48" s="16"/>
      <c r="K48" s="16"/>
      <c r="L48" s="16"/>
      <c r="M48" s="16"/>
      <c r="N48" s="16"/>
      <c r="O48" s="16">
        <f t="shared" si="6"/>
        <v>0</v>
      </c>
      <c r="Y48" s="18"/>
    </row>
    <row r="49" spans="2:25" s="17" customFormat="1" ht="11.25">
      <c r="B49" s="16"/>
      <c r="C49" s="16"/>
      <c r="D49" s="16"/>
      <c r="E49" s="16"/>
      <c r="F49" s="16"/>
      <c r="G49" s="35"/>
      <c r="H49" s="16"/>
      <c r="I49" s="16"/>
      <c r="J49" s="16"/>
      <c r="K49" s="16"/>
      <c r="L49" s="16"/>
      <c r="M49" s="16"/>
      <c r="N49" s="16"/>
      <c r="O49" s="16">
        <f t="shared" si="6"/>
        <v>0</v>
      </c>
      <c r="Y49" s="18"/>
    </row>
    <row r="50" spans="2:25" s="17" customFormat="1" ht="11.25">
      <c r="B50" s="16"/>
      <c r="C50" s="16"/>
      <c r="D50" s="16"/>
      <c r="E50" s="16"/>
      <c r="F50" s="16"/>
      <c r="G50" s="35"/>
      <c r="H50" s="16"/>
      <c r="I50" s="16"/>
      <c r="J50" s="16"/>
      <c r="K50" s="16"/>
      <c r="L50" s="16"/>
      <c r="M50" s="16"/>
      <c r="N50" s="16"/>
      <c r="O50" s="16">
        <f t="shared" si="6"/>
        <v>0</v>
      </c>
      <c r="Y50" s="18"/>
    </row>
    <row r="51" spans="2:25" s="17" customFormat="1" ht="11.25">
      <c r="B51" s="15" t="s">
        <v>14</v>
      </c>
      <c r="C51" s="15">
        <f aca="true" t="shared" si="7" ref="C51:O51">SUM(C28:C50)</f>
        <v>14117.96</v>
      </c>
      <c r="D51" s="15">
        <f t="shared" si="7"/>
        <v>12861.18</v>
      </c>
      <c r="E51" s="15">
        <f t="shared" si="7"/>
        <v>21765.629999999997</v>
      </c>
      <c r="F51" s="15">
        <f t="shared" si="7"/>
        <v>12087.229999999998</v>
      </c>
      <c r="G51" s="36">
        <f t="shared" si="7"/>
        <v>13724.41</v>
      </c>
      <c r="H51" s="15">
        <f t="shared" si="7"/>
        <v>12178.140000000001</v>
      </c>
      <c r="I51" s="15">
        <f t="shared" si="7"/>
        <v>13905.79</v>
      </c>
      <c r="J51" s="15">
        <f t="shared" si="7"/>
        <v>49572.31</v>
      </c>
      <c r="K51" s="15">
        <f t="shared" si="7"/>
        <v>12612.579999999998</v>
      </c>
      <c r="L51" s="15">
        <f t="shared" si="7"/>
        <v>14642.349999999999</v>
      </c>
      <c r="M51" s="15">
        <f t="shared" si="7"/>
        <v>0</v>
      </c>
      <c r="N51" s="15">
        <f t="shared" si="7"/>
        <v>0</v>
      </c>
      <c r="O51" s="15">
        <f t="shared" si="7"/>
        <v>183981.43999999997</v>
      </c>
      <c r="Y51" s="18"/>
    </row>
    <row r="52" ht="11.25">
      <c r="G52" s="37"/>
    </row>
    <row r="53" spans="2:15" ht="11.25">
      <c r="B53" s="20" t="s">
        <v>109</v>
      </c>
      <c r="C53" s="21">
        <f aca="true" t="shared" si="8" ref="C53:O53">C9+C20-C51</f>
        <v>47206.11</v>
      </c>
      <c r="D53" s="21">
        <f t="shared" si="8"/>
        <v>49369.78</v>
      </c>
      <c r="E53" s="21">
        <f t="shared" si="8"/>
        <v>42771.060000000005</v>
      </c>
      <c r="F53" s="21">
        <f t="shared" si="8"/>
        <v>44934.880000000005</v>
      </c>
      <c r="G53" s="38">
        <f t="shared" si="8"/>
        <v>51550.5</v>
      </c>
      <c r="H53" s="21">
        <f t="shared" si="8"/>
        <v>55550.94</v>
      </c>
      <c r="I53" s="21">
        <f t="shared" si="8"/>
        <v>58035.32</v>
      </c>
      <c r="J53" s="21">
        <f t="shared" si="8"/>
        <v>21530.589999999997</v>
      </c>
      <c r="K53" s="21">
        <f t="shared" si="8"/>
        <v>24917.239999999994</v>
      </c>
      <c r="L53" s="38">
        <f t="shared" si="8"/>
        <v>27473.859999999993</v>
      </c>
      <c r="M53" s="21">
        <f t="shared" si="8"/>
        <v>27473.859999999993</v>
      </c>
      <c r="N53" s="21">
        <f t="shared" si="8"/>
        <v>27473.859999999993</v>
      </c>
      <c r="O53" s="42">
        <f t="shared" si="8"/>
        <v>20960.00000000003</v>
      </c>
    </row>
    <row r="54" spans="2:15" s="3" customFormat="1" ht="11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ht="11.25">
      <c r="B55" s="2" t="s">
        <v>21</v>
      </c>
    </row>
    <row r="56" ht="11.25">
      <c r="B56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7"/>
  <sheetViews>
    <sheetView zoomScale="90" zoomScaleNormal="90" zoomScalePageLayoutView="0" workbookViewId="0" topLeftCell="A22">
      <selection activeCell="Q27" sqref="Q27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8.62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2">
      <c r="B1" s="44" t="s">
        <v>105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2:16" ht="12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2:16" ht="12">
      <c r="B3" s="45" t="s">
        <v>106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"/>
    </row>
    <row r="4" spans="2:16" ht="12">
      <c r="B4" s="45" t="s">
        <v>112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"/>
    </row>
    <row r="5" spans="2:16" ht="1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1"/>
    </row>
    <row r="7" spans="2:15" ht="11.25">
      <c r="B7" s="6" t="s">
        <v>41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1.25">
      <c r="B8" s="5"/>
      <c r="C8" s="5" t="s">
        <v>0</v>
      </c>
      <c r="D8" s="5" t="s">
        <v>1</v>
      </c>
      <c r="E8" s="5" t="s">
        <v>2</v>
      </c>
      <c r="F8" s="5" t="s">
        <v>3</v>
      </c>
      <c r="G8" s="27" t="s">
        <v>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10</v>
      </c>
      <c r="N8" s="5" t="s">
        <v>11</v>
      </c>
      <c r="O8" s="6" t="s">
        <v>12</v>
      </c>
    </row>
    <row r="9" spans="2:15" ht="11.25">
      <c r="B9" s="5"/>
      <c r="C9" s="5"/>
      <c r="D9" s="5"/>
      <c r="E9" s="5"/>
      <c r="F9" s="5"/>
      <c r="G9" s="27"/>
      <c r="H9" s="5"/>
      <c r="I9" s="5"/>
      <c r="J9" s="5"/>
      <c r="K9" s="5"/>
      <c r="L9" s="5"/>
      <c r="M9" s="5"/>
      <c r="N9" s="5"/>
      <c r="O9" s="4"/>
    </row>
    <row r="10" spans="2:15" ht="11.25">
      <c r="B10" s="4" t="s">
        <v>39</v>
      </c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1.25">
      <c r="B11" s="5" t="s">
        <v>13</v>
      </c>
      <c r="C11" s="5">
        <v>15473.24</v>
      </c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5">
        <f>C11+D11+E11+F11+G11+H11+I11+J11+K11+L11+M11+N11</f>
        <v>15473.24</v>
      </c>
    </row>
    <row r="12" spans="2:15" s="3" customFormat="1" ht="11.25">
      <c r="B12" s="4" t="s">
        <v>14</v>
      </c>
      <c r="C12" s="4">
        <f>C11</f>
        <v>15473.24</v>
      </c>
      <c r="D12" s="4">
        <f aca="true" t="shared" si="0" ref="D12:I12">C54</f>
        <v>14477.949999999999</v>
      </c>
      <c r="E12" s="4">
        <f t="shared" si="0"/>
        <v>16173.36</v>
      </c>
      <c r="F12" s="4">
        <f t="shared" si="0"/>
        <v>14396.850000000002</v>
      </c>
      <c r="G12" s="28">
        <f t="shared" si="0"/>
        <v>16591.660000000003</v>
      </c>
      <c r="H12" s="4">
        <f t="shared" si="0"/>
        <v>20707.320000000003</v>
      </c>
      <c r="I12" s="4">
        <f t="shared" si="0"/>
        <v>21289.890000000003</v>
      </c>
      <c r="J12" s="4">
        <f>I54</f>
        <v>19996.280000000006</v>
      </c>
      <c r="K12" s="4">
        <f>J54</f>
        <v>24142.490000000005</v>
      </c>
      <c r="L12" s="4">
        <f>K54</f>
        <v>22982.560000000005</v>
      </c>
      <c r="M12" s="4">
        <f>L54</f>
        <v>25394.510000000002</v>
      </c>
      <c r="N12" s="4">
        <f>M54</f>
        <v>25394.510000000002</v>
      </c>
      <c r="O12" s="4">
        <f>O11</f>
        <v>15473.24</v>
      </c>
    </row>
    <row r="13" spans="2:15" ht="11.25">
      <c r="B13" s="5"/>
      <c r="C13" s="5"/>
      <c r="D13" s="5"/>
      <c r="E13" s="5"/>
      <c r="F13" s="5"/>
      <c r="G13" s="27"/>
      <c r="H13" s="5"/>
      <c r="I13" s="5"/>
      <c r="J13" s="5"/>
      <c r="K13" s="5"/>
      <c r="L13" s="5"/>
      <c r="M13" s="5"/>
      <c r="N13" s="5"/>
      <c r="O13" s="4"/>
    </row>
    <row r="14" spans="2:15" ht="11.25">
      <c r="B14" s="5"/>
      <c r="C14" s="5"/>
      <c r="D14" s="5"/>
      <c r="E14" s="5"/>
      <c r="F14" s="5"/>
      <c r="G14" s="27"/>
      <c r="H14" s="5"/>
      <c r="I14" s="5"/>
      <c r="J14" s="5"/>
      <c r="K14" s="5"/>
      <c r="L14" s="5"/>
      <c r="M14" s="5"/>
      <c r="N14" s="5"/>
      <c r="O14" s="4"/>
    </row>
    <row r="15" spans="2:25" s="10" customFormat="1" ht="11.25">
      <c r="B15" s="8" t="s">
        <v>15</v>
      </c>
      <c r="C15" s="9"/>
      <c r="D15" s="9"/>
      <c r="E15" s="9"/>
      <c r="F15" s="9"/>
      <c r="G15" s="29"/>
      <c r="H15" s="9"/>
      <c r="I15" s="9"/>
      <c r="J15" s="9"/>
      <c r="K15" s="9"/>
      <c r="L15" s="9"/>
      <c r="M15" s="9"/>
      <c r="N15" s="9"/>
      <c r="O15" s="8"/>
      <c r="Y15" s="11"/>
    </row>
    <row r="16" spans="2:25" s="10" customFormat="1" ht="11.25">
      <c r="B16" s="9" t="s">
        <v>13</v>
      </c>
      <c r="C16" s="9">
        <v>7069.67</v>
      </c>
      <c r="D16" s="9">
        <v>7069.67</v>
      </c>
      <c r="E16" s="9">
        <v>7069.67</v>
      </c>
      <c r="F16" s="9">
        <v>7069.67</v>
      </c>
      <c r="G16" s="9">
        <v>7069.67</v>
      </c>
      <c r="H16" s="9">
        <v>7069.67</v>
      </c>
      <c r="I16" s="9">
        <v>7351.19</v>
      </c>
      <c r="J16" s="9">
        <v>7351.19</v>
      </c>
      <c r="K16" s="9">
        <v>7351.19</v>
      </c>
      <c r="L16" s="9">
        <v>7351.19</v>
      </c>
      <c r="M16" s="9"/>
      <c r="N16" s="9"/>
      <c r="O16" s="9">
        <f>C16+D16+E16+F16+G16+H16+I16+J16+K16+L16+M16+N16</f>
        <v>71822.78</v>
      </c>
      <c r="Y16" s="11"/>
    </row>
    <row r="17" spans="2:25" s="10" customFormat="1" ht="11.25">
      <c r="B17" s="16"/>
      <c r="C17" s="9"/>
      <c r="D17" s="9"/>
      <c r="E17" s="9"/>
      <c r="F17" s="9"/>
      <c r="G17" s="29"/>
      <c r="H17" s="9"/>
      <c r="I17" s="9"/>
      <c r="J17" s="9"/>
      <c r="K17" s="9"/>
      <c r="L17" s="9"/>
      <c r="M17" s="9"/>
      <c r="N17" s="9"/>
      <c r="O17" s="9"/>
      <c r="Y17" s="11"/>
    </row>
    <row r="18" spans="2:15" s="11" customFormat="1" ht="11.25">
      <c r="B18" s="8" t="s">
        <v>14</v>
      </c>
      <c r="C18" s="8">
        <f aca="true" t="shared" si="1" ref="C18:N18">SUM(C14:C16)</f>
        <v>7069.67</v>
      </c>
      <c r="D18" s="8">
        <f t="shared" si="1"/>
        <v>7069.67</v>
      </c>
      <c r="E18" s="8">
        <f t="shared" si="1"/>
        <v>7069.67</v>
      </c>
      <c r="F18" s="8">
        <f t="shared" si="1"/>
        <v>7069.67</v>
      </c>
      <c r="G18" s="30">
        <f t="shared" si="1"/>
        <v>7069.67</v>
      </c>
      <c r="H18" s="8">
        <f t="shared" si="1"/>
        <v>7069.67</v>
      </c>
      <c r="I18" s="8">
        <f t="shared" si="1"/>
        <v>7351.19</v>
      </c>
      <c r="J18" s="8">
        <f t="shared" si="1"/>
        <v>7351.19</v>
      </c>
      <c r="K18" s="8">
        <f t="shared" si="1"/>
        <v>7351.19</v>
      </c>
      <c r="L18" s="8">
        <f t="shared" si="1"/>
        <v>7351.19</v>
      </c>
      <c r="M18" s="8">
        <f t="shared" si="1"/>
        <v>0</v>
      </c>
      <c r="N18" s="8">
        <f t="shared" si="1"/>
        <v>0</v>
      </c>
      <c r="O18" s="8">
        <f>C18+D18+E18+F18+G18+H18+I18+J18+K18+L18+M18+N18</f>
        <v>71822.78</v>
      </c>
    </row>
    <row r="19" spans="2:15" ht="11.25">
      <c r="B19" s="5"/>
      <c r="C19" s="5"/>
      <c r="D19" s="5"/>
      <c r="E19" s="5"/>
      <c r="F19" s="5"/>
      <c r="G19" s="27"/>
      <c r="H19" s="5"/>
      <c r="I19" s="5"/>
      <c r="J19" s="5"/>
      <c r="K19" s="5"/>
      <c r="L19" s="5"/>
      <c r="M19" s="5"/>
      <c r="N19" s="5"/>
      <c r="O19" s="4"/>
    </row>
    <row r="20" spans="2:25" s="25" customFormat="1" ht="11.25">
      <c r="B20" s="23" t="s">
        <v>16</v>
      </c>
      <c r="C20" s="24"/>
      <c r="D20" s="24"/>
      <c r="E20" s="24"/>
      <c r="F20" s="24"/>
      <c r="G20" s="31"/>
      <c r="H20" s="24"/>
      <c r="I20" s="24"/>
      <c r="J20" s="24"/>
      <c r="K20" s="24"/>
      <c r="L20" s="24"/>
      <c r="M20" s="24"/>
      <c r="N20" s="24"/>
      <c r="O20" s="23"/>
      <c r="Y20" s="26"/>
    </row>
    <row r="21" spans="2:25" s="25" customFormat="1" ht="11.25">
      <c r="B21" s="24" t="s">
        <v>13</v>
      </c>
      <c r="C21" s="24">
        <v>4844</v>
      </c>
      <c r="D21" s="24">
        <v>8271.66</v>
      </c>
      <c r="E21" s="24">
        <v>6613.61</v>
      </c>
      <c r="F21" s="24">
        <v>7750.34</v>
      </c>
      <c r="G21" s="31">
        <v>12116.78</v>
      </c>
      <c r="H21" s="24">
        <v>6726.9</v>
      </c>
      <c r="I21" s="24">
        <v>5705.92</v>
      </c>
      <c r="J21" s="24">
        <f>8931.3+2053.79</f>
        <v>10985.09</v>
      </c>
      <c r="K21" s="24">
        <v>5242.76</v>
      </c>
      <c r="L21" s="24">
        <v>10188.31</v>
      </c>
      <c r="M21" s="24"/>
      <c r="N21" s="24"/>
      <c r="O21" s="24">
        <f>C21+D21+E21+F21+G21+H21+I21+J21+K21+L21+M21+N21</f>
        <v>78445.37</v>
      </c>
      <c r="Y21" s="26"/>
    </row>
    <row r="22" spans="2:25" s="25" customFormat="1" ht="11.25">
      <c r="B22" s="16"/>
      <c r="C22" s="24"/>
      <c r="D22" s="24"/>
      <c r="E22" s="24"/>
      <c r="F22" s="24"/>
      <c r="G22" s="31"/>
      <c r="H22" s="24"/>
      <c r="I22" s="24"/>
      <c r="J22" s="24"/>
      <c r="K22" s="24"/>
      <c r="L22" s="24"/>
      <c r="M22" s="24"/>
      <c r="N22" s="24"/>
      <c r="O22" s="24"/>
      <c r="Y22" s="26"/>
    </row>
    <row r="23" spans="2:15" s="26" customFormat="1" ht="11.25">
      <c r="B23" s="23" t="s">
        <v>14</v>
      </c>
      <c r="C23" s="23">
        <f aca="true" t="shared" si="2" ref="C23:O23">SUM(C21:C22)</f>
        <v>4844</v>
      </c>
      <c r="D23" s="23">
        <f t="shared" si="2"/>
        <v>8271.66</v>
      </c>
      <c r="E23" s="23">
        <f t="shared" si="2"/>
        <v>6613.61</v>
      </c>
      <c r="F23" s="23">
        <f t="shared" si="2"/>
        <v>7750.34</v>
      </c>
      <c r="G23" s="32">
        <f t="shared" si="2"/>
        <v>12116.78</v>
      </c>
      <c r="H23" s="23">
        <f t="shared" si="2"/>
        <v>6726.9</v>
      </c>
      <c r="I23" s="23">
        <f t="shared" si="2"/>
        <v>5705.92</v>
      </c>
      <c r="J23" s="23">
        <f t="shared" si="2"/>
        <v>10985.09</v>
      </c>
      <c r="K23" s="23">
        <f t="shared" si="2"/>
        <v>5242.76</v>
      </c>
      <c r="L23" s="23">
        <f t="shared" si="2"/>
        <v>10188.31</v>
      </c>
      <c r="M23" s="23">
        <f t="shared" si="2"/>
        <v>0</v>
      </c>
      <c r="N23" s="23">
        <f t="shared" si="2"/>
        <v>0</v>
      </c>
      <c r="O23" s="23">
        <f t="shared" si="2"/>
        <v>78445.37</v>
      </c>
    </row>
    <row r="24" spans="2:15" ht="11.25">
      <c r="B24" s="5"/>
      <c r="C24" s="5"/>
      <c r="D24" s="5"/>
      <c r="E24" s="5"/>
      <c r="F24" s="5"/>
      <c r="G24" s="27"/>
      <c r="H24" s="5"/>
      <c r="I24" s="5"/>
      <c r="J24" s="5"/>
      <c r="K24" s="5"/>
      <c r="L24" s="5"/>
      <c r="M24" s="5"/>
      <c r="N24" s="5"/>
      <c r="O24" s="4"/>
    </row>
    <row r="25" spans="2:15" ht="11.25">
      <c r="B25" s="4" t="s">
        <v>17</v>
      </c>
      <c r="C25" s="12">
        <f aca="true" t="shared" si="3" ref="C25:O25">C23/C18</f>
        <v>0.6851804964022365</v>
      </c>
      <c r="D25" s="12">
        <f t="shared" si="3"/>
        <v>1.17002066574536</v>
      </c>
      <c r="E25" s="12">
        <f t="shared" si="3"/>
        <v>0.9354906240319562</v>
      </c>
      <c r="F25" s="12">
        <f t="shared" si="3"/>
        <v>1.0962803072844984</v>
      </c>
      <c r="G25" s="33">
        <f t="shared" si="3"/>
        <v>1.713910267381646</v>
      </c>
      <c r="H25" s="12">
        <f t="shared" si="3"/>
        <v>0.9515154172684156</v>
      </c>
      <c r="I25" s="12">
        <f t="shared" si="3"/>
        <v>0.7761899774050188</v>
      </c>
      <c r="J25" s="12">
        <f t="shared" si="3"/>
        <v>1.4943281291872474</v>
      </c>
      <c r="K25" s="12">
        <f t="shared" si="3"/>
        <v>0.7131852121901353</v>
      </c>
      <c r="L25" s="12">
        <f t="shared" si="3"/>
        <v>1.385940235526493</v>
      </c>
      <c r="M25" s="12" t="e">
        <f t="shared" si="3"/>
        <v>#DIV/0!</v>
      </c>
      <c r="N25" s="12" t="e">
        <f t="shared" si="3"/>
        <v>#DIV/0!</v>
      </c>
      <c r="O25" s="13">
        <f t="shared" si="3"/>
        <v>1.0922073748746568</v>
      </c>
    </row>
    <row r="26" spans="2:15" ht="11.25">
      <c r="B26" s="4"/>
      <c r="C26" s="12"/>
      <c r="D26" s="12"/>
      <c r="E26" s="12"/>
      <c r="F26" s="12"/>
      <c r="G26" s="33"/>
      <c r="H26" s="12"/>
      <c r="I26" s="12"/>
      <c r="J26" s="12"/>
      <c r="K26" s="12"/>
      <c r="L26" s="12"/>
      <c r="M26" s="12"/>
      <c r="N26" s="12"/>
      <c r="O26" s="14"/>
    </row>
    <row r="27" spans="2:15" ht="11.25">
      <c r="B27" s="4" t="s">
        <v>18</v>
      </c>
      <c r="C27" s="7">
        <f aca="true" t="shared" si="4" ref="C27:O27">C18-C23</f>
        <v>2225.67</v>
      </c>
      <c r="D27" s="7">
        <f t="shared" si="4"/>
        <v>-1201.9899999999998</v>
      </c>
      <c r="E27" s="7">
        <f t="shared" si="4"/>
        <v>456.0600000000004</v>
      </c>
      <c r="F27" s="7">
        <f t="shared" si="4"/>
        <v>-680.6700000000001</v>
      </c>
      <c r="G27" s="34">
        <f t="shared" si="4"/>
        <v>-5047.110000000001</v>
      </c>
      <c r="H27" s="7">
        <f t="shared" si="4"/>
        <v>342.77000000000044</v>
      </c>
      <c r="I27" s="7">
        <f t="shared" si="4"/>
        <v>1645.2699999999995</v>
      </c>
      <c r="J27" s="7">
        <f t="shared" si="4"/>
        <v>-3633.9000000000005</v>
      </c>
      <c r="K27" s="7">
        <f t="shared" si="4"/>
        <v>2108.4299999999994</v>
      </c>
      <c r="L27" s="7">
        <f t="shared" si="4"/>
        <v>-2837.12</v>
      </c>
      <c r="M27" s="7">
        <f t="shared" si="4"/>
        <v>0</v>
      </c>
      <c r="N27" s="7">
        <f t="shared" si="4"/>
        <v>0</v>
      </c>
      <c r="O27" s="7">
        <f t="shared" si="4"/>
        <v>-6622.5899999999965</v>
      </c>
    </row>
    <row r="28" spans="2:15" ht="11.25">
      <c r="B28" s="5"/>
      <c r="C28" s="5"/>
      <c r="D28" s="5"/>
      <c r="E28" s="5"/>
      <c r="F28" s="5"/>
      <c r="G28" s="27"/>
      <c r="H28" s="5"/>
      <c r="I28" s="5"/>
      <c r="J28" s="5"/>
      <c r="K28" s="5"/>
      <c r="L28" s="5"/>
      <c r="M28" s="5"/>
      <c r="N28" s="5"/>
      <c r="O28" s="4"/>
    </row>
    <row r="29" spans="2:25" s="17" customFormat="1" ht="11.25">
      <c r="B29" s="15" t="s">
        <v>19</v>
      </c>
      <c r="C29" s="16"/>
      <c r="D29" s="16"/>
      <c r="E29" s="16"/>
      <c r="F29" s="16"/>
      <c r="G29" s="35"/>
      <c r="H29" s="16"/>
      <c r="I29" s="16"/>
      <c r="J29" s="16"/>
      <c r="K29" s="16"/>
      <c r="L29" s="16"/>
      <c r="M29" s="16"/>
      <c r="N29" s="16"/>
      <c r="O29" s="15"/>
      <c r="Y29" s="18"/>
    </row>
    <row r="30" spans="2:25" s="17" customFormat="1" ht="11.25">
      <c r="B30" s="16"/>
      <c r="C30" s="16"/>
      <c r="D30" s="16"/>
      <c r="E30" s="16"/>
      <c r="F30" s="16"/>
      <c r="G30" s="35"/>
      <c r="H30" s="16"/>
      <c r="I30" s="16"/>
      <c r="J30" s="16"/>
      <c r="K30" s="16"/>
      <c r="L30" s="16"/>
      <c r="M30" s="16"/>
      <c r="N30" s="16"/>
      <c r="O30" s="15"/>
      <c r="Y30" s="18"/>
    </row>
    <row r="31" spans="2:25" s="17" customFormat="1" ht="11.25">
      <c r="B31" s="16" t="s">
        <v>20</v>
      </c>
      <c r="C31" s="16">
        <v>111.1</v>
      </c>
      <c r="D31" s="16">
        <v>289.18</v>
      </c>
      <c r="E31" s="16">
        <v>397.4</v>
      </c>
      <c r="F31" s="16">
        <v>402.62</v>
      </c>
      <c r="G31" s="35">
        <v>653.16</v>
      </c>
      <c r="H31" s="16">
        <v>715.1</v>
      </c>
      <c r="I31" s="16">
        <v>429.97</v>
      </c>
      <c r="J31" s="16">
        <v>294.4</v>
      </c>
      <c r="K31" s="16">
        <v>336.54</v>
      </c>
      <c r="L31" s="16">
        <v>816.3</v>
      </c>
      <c r="M31" s="16"/>
      <c r="N31" s="16"/>
      <c r="O31" s="16">
        <f>C31+D31+E31+F31+G31+H31+I31+J31+K31+L31+M31+N31</f>
        <v>4445.7699999999995</v>
      </c>
      <c r="Y31" s="18"/>
    </row>
    <row r="32" spans="2:25" s="17" customFormat="1" ht="11.25">
      <c r="B32" s="16" t="s">
        <v>32</v>
      </c>
      <c r="C32" s="16">
        <f>2723.71+66.59</f>
        <v>2790.3</v>
      </c>
      <c r="D32" s="16">
        <f>2657.11+181.53</f>
        <v>2838.6400000000003</v>
      </c>
      <c r="E32" s="16">
        <v>2723.71</v>
      </c>
      <c r="F32" s="16">
        <v>2723.71</v>
      </c>
      <c r="G32" s="35">
        <v>2723.71</v>
      </c>
      <c r="H32" s="16">
        <v>2723.71</v>
      </c>
      <c r="I32" s="16">
        <v>2723.71</v>
      </c>
      <c r="J32" s="16">
        <v>2723.71</v>
      </c>
      <c r="K32" s="16">
        <v>2723.71</v>
      </c>
      <c r="L32" s="16">
        <v>2723.71</v>
      </c>
      <c r="M32" s="16"/>
      <c r="N32" s="16"/>
      <c r="O32" s="16">
        <f aca="true" t="shared" si="5" ref="O32:O51">C32+D32+E32+F32+G32+H32+I32+J32+K32+L32+M32+N32</f>
        <v>27418.619999999995</v>
      </c>
      <c r="Y32" s="18"/>
    </row>
    <row r="33" spans="2:25" s="17" customFormat="1" ht="11.25">
      <c r="B33" s="16" t="s">
        <v>26</v>
      </c>
      <c r="C33" s="16">
        <f>522.09+223.8</f>
        <v>745.8900000000001</v>
      </c>
      <c r="D33" s="16">
        <f>802.38+270.92</f>
        <v>1073.3</v>
      </c>
      <c r="E33" s="16">
        <f>802.38+270.92</f>
        <v>1073.3</v>
      </c>
      <c r="F33" s="16">
        <f>351.25+399.55+270.92</f>
        <v>1021.72</v>
      </c>
      <c r="G33" s="35">
        <f>402.83+802.38</f>
        <v>1205.21</v>
      </c>
      <c r="H33" s="16">
        <f>802.38+270.92</f>
        <v>1073.3</v>
      </c>
      <c r="I33" s="16">
        <f>802.38+270.92</f>
        <v>1073.3</v>
      </c>
      <c r="J33" s="16">
        <f>802.38+270.92</f>
        <v>1073.3</v>
      </c>
      <c r="K33" s="16">
        <f>802.38+270.92</f>
        <v>1073.3</v>
      </c>
      <c r="L33" s="16">
        <f>802.38+270.92</f>
        <v>1073.3</v>
      </c>
      <c r="M33" s="16"/>
      <c r="N33" s="16"/>
      <c r="O33" s="16">
        <f t="shared" si="5"/>
        <v>10485.919999999998</v>
      </c>
      <c r="Y33" s="18"/>
    </row>
    <row r="34" spans="2:25" s="17" customFormat="1" ht="11.25">
      <c r="B34" s="16" t="s">
        <v>27</v>
      </c>
      <c r="C34" s="16">
        <f>200.16+1283.53</f>
        <v>1483.69</v>
      </c>
      <c r="D34" s="16">
        <f>133.18+1283.53</f>
        <v>1416.71</v>
      </c>
      <c r="E34" s="16">
        <v>1283.53</v>
      </c>
      <c r="F34" s="16">
        <v>399.55</v>
      </c>
      <c r="G34" s="35">
        <f>883.99+665.91+270.92</f>
        <v>1820.8200000000002</v>
      </c>
      <c r="H34" s="16">
        <f>617.62+665.91</f>
        <v>1283.53</v>
      </c>
      <c r="I34" s="16">
        <f>617.62+665.91</f>
        <v>1283.53</v>
      </c>
      <c r="J34" s="16">
        <f>1428.06+32.32</f>
        <v>1460.3799999999999</v>
      </c>
      <c r="K34" s="16">
        <f>1428.06+32.32</f>
        <v>1460.3799999999999</v>
      </c>
      <c r="L34" s="16">
        <f>1428.06+32.32+617.62</f>
        <v>2078</v>
      </c>
      <c r="M34" s="16"/>
      <c r="N34" s="16"/>
      <c r="O34" s="16">
        <f t="shared" si="5"/>
        <v>13970.119999999999</v>
      </c>
      <c r="Y34" s="18"/>
    </row>
    <row r="35" spans="2:25" s="17" customFormat="1" ht="11.25">
      <c r="B35" s="16" t="s">
        <v>23</v>
      </c>
      <c r="C35" s="16"/>
      <c r="D35" s="16"/>
      <c r="E35" s="16"/>
      <c r="F35" s="16"/>
      <c r="G35" s="35"/>
      <c r="H35" s="16"/>
      <c r="I35" s="16"/>
      <c r="J35" s="16"/>
      <c r="K35" s="16"/>
      <c r="L35" s="16"/>
      <c r="M35" s="16"/>
      <c r="N35" s="16"/>
      <c r="O35" s="16">
        <f t="shared" si="5"/>
        <v>0</v>
      </c>
      <c r="Y35" s="18"/>
    </row>
    <row r="36" spans="2:25" s="17" customFormat="1" ht="11.25">
      <c r="B36" s="19" t="s">
        <v>28</v>
      </c>
      <c r="C36" s="16">
        <v>7.72</v>
      </c>
      <c r="D36" s="16">
        <v>7.72</v>
      </c>
      <c r="E36" s="16">
        <v>7.72</v>
      </c>
      <c r="F36" s="16">
        <v>7.72</v>
      </c>
      <c r="G36" s="35"/>
      <c r="H36" s="16"/>
      <c r="I36" s="16">
        <v>7.72</v>
      </c>
      <c r="J36" s="16">
        <v>7.72</v>
      </c>
      <c r="K36" s="16">
        <v>7.72</v>
      </c>
      <c r="L36" s="16">
        <v>7.72</v>
      </c>
      <c r="M36" s="16"/>
      <c r="N36" s="16"/>
      <c r="O36" s="16">
        <f t="shared" si="5"/>
        <v>61.76</v>
      </c>
      <c r="Y36" s="18"/>
    </row>
    <row r="37" spans="2:25" s="17" customFormat="1" ht="11.25">
      <c r="B37" s="16" t="s">
        <v>29</v>
      </c>
      <c r="C37" s="16"/>
      <c r="D37" s="16"/>
      <c r="E37" s="16"/>
      <c r="F37" s="16"/>
      <c r="G37" s="35"/>
      <c r="H37" s="16"/>
      <c r="I37" s="16"/>
      <c r="J37" s="16"/>
      <c r="K37" s="16"/>
      <c r="L37" s="16"/>
      <c r="M37" s="16"/>
      <c r="N37" s="16"/>
      <c r="O37" s="16">
        <f t="shared" si="5"/>
        <v>0</v>
      </c>
      <c r="Y37" s="18"/>
    </row>
    <row r="38" spans="2:25" s="17" customFormat="1" ht="11.25">
      <c r="B38" s="16" t="s">
        <v>25</v>
      </c>
      <c r="C38" s="16"/>
      <c r="D38" s="16"/>
      <c r="E38" s="16"/>
      <c r="F38" s="16"/>
      <c r="G38" s="35"/>
      <c r="H38" s="16"/>
      <c r="I38" s="16"/>
      <c r="J38" s="16"/>
      <c r="K38" s="16"/>
      <c r="L38" s="16"/>
      <c r="M38" s="16"/>
      <c r="N38" s="16"/>
      <c r="O38" s="16">
        <f t="shared" si="5"/>
        <v>0</v>
      </c>
      <c r="Y38" s="18"/>
    </row>
    <row r="39" spans="2:25" s="17" customFormat="1" ht="11.25">
      <c r="B39" s="16" t="s">
        <v>31</v>
      </c>
      <c r="C39" s="16">
        <f>421.67+53.4</f>
        <v>475.07</v>
      </c>
      <c r="D39" s="16">
        <f>293.53+181.53</f>
        <v>475.05999999999995</v>
      </c>
      <c r="E39" s="16"/>
      <c r="F39" s="16">
        <f>334.03+141.04</f>
        <v>475.06999999999994</v>
      </c>
      <c r="G39" s="35">
        <f>334.5+140.56</f>
        <v>475.06</v>
      </c>
      <c r="H39" s="16"/>
      <c r="I39" s="16">
        <f>327.86+315.82+147.21+159.24</f>
        <v>950.1300000000001</v>
      </c>
      <c r="J39" s="16">
        <f>350.76+124.3</f>
        <v>475.06</v>
      </c>
      <c r="K39" s="16">
        <f>367.13+107.92</f>
        <v>475.05</v>
      </c>
      <c r="L39" s="16">
        <f>339.58+135.49</f>
        <v>475.07</v>
      </c>
      <c r="M39" s="16"/>
      <c r="N39" s="16"/>
      <c r="O39" s="16">
        <f t="shared" si="5"/>
        <v>4275.57</v>
      </c>
      <c r="Y39" s="18"/>
    </row>
    <row r="40" spans="2:25" s="17" customFormat="1" ht="11.25">
      <c r="B40" s="16" t="s">
        <v>30</v>
      </c>
      <c r="C40" s="16">
        <v>123.16</v>
      </c>
      <c r="D40" s="16">
        <v>123.16</v>
      </c>
      <c r="E40" s="16">
        <v>123.17</v>
      </c>
      <c r="F40" s="16">
        <v>123.17</v>
      </c>
      <c r="G40" s="35">
        <v>123.16</v>
      </c>
      <c r="H40" s="16">
        <v>123.16</v>
      </c>
      <c r="I40" s="16">
        <v>123.17</v>
      </c>
      <c r="J40" s="16">
        <v>123.17</v>
      </c>
      <c r="K40" s="16">
        <v>123.17</v>
      </c>
      <c r="L40" s="16">
        <v>123.17</v>
      </c>
      <c r="M40" s="16"/>
      <c r="N40" s="16"/>
      <c r="O40" s="16">
        <f t="shared" si="5"/>
        <v>1231.66</v>
      </c>
      <c r="Y40" s="18"/>
    </row>
    <row r="41" spans="2:25" s="17" customFormat="1" ht="11.25">
      <c r="B41" s="16" t="s">
        <v>24</v>
      </c>
      <c r="C41" s="16">
        <v>102.36</v>
      </c>
      <c r="D41" s="16">
        <v>352.48</v>
      </c>
      <c r="E41" s="16">
        <v>117.65</v>
      </c>
      <c r="F41" s="16">
        <v>401.97</v>
      </c>
      <c r="G41" s="35"/>
      <c r="H41" s="16">
        <v>201.65</v>
      </c>
      <c r="I41" s="16">
        <v>408</v>
      </c>
      <c r="J41" s="16">
        <v>374.82</v>
      </c>
      <c r="K41" s="16">
        <v>202.82</v>
      </c>
      <c r="L41" s="16">
        <v>479.09</v>
      </c>
      <c r="M41" s="16"/>
      <c r="N41" s="16"/>
      <c r="O41" s="16">
        <f t="shared" si="5"/>
        <v>2640.84</v>
      </c>
      <c r="Y41" s="18"/>
    </row>
    <row r="42" spans="2:25" s="17" customFormat="1" ht="11.25">
      <c r="B42" s="16" t="s">
        <v>34</v>
      </c>
      <c r="C42" s="16"/>
      <c r="D42" s="16"/>
      <c r="E42" s="16"/>
      <c r="F42" s="16"/>
      <c r="G42" s="35"/>
      <c r="H42" s="16"/>
      <c r="I42" s="16"/>
      <c r="J42" s="16"/>
      <c r="K42" s="16"/>
      <c r="L42" s="16"/>
      <c r="M42" s="16"/>
      <c r="N42" s="16"/>
      <c r="O42" s="16">
        <f t="shared" si="5"/>
        <v>0</v>
      </c>
      <c r="Y42" s="18"/>
    </row>
    <row r="43" spans="2:25" s="17" customFormat="1" ht="11.25">
      <c r="B43" s="16" t="s">
        <v>35</v>
      </c>
      <c r="C43" s="16"/>
      <c r="D43" s="16"/>
      <c r="E43" s="16"/>
      <c r="F43" s="16"/>
      <c r="G43" s="35"/>
      <c r="H43" s="16"/>
      <c r="I43" s="16"/>
      <c r="J43" s="16"/>
      <c r="K43" s="16"/>
      <c r="L43" s="16"/>
      <c r="M43" s="16"/>
      <c r="N43" s="16"/>
      <c r="O43" s="16">
        <f t="shared" si="5"/>
        <v>0</v>
      </c>
      <c r="Y43" s="18"/>
    </row>
    <row r="44" spans="2:25" s="17" customFormat="1" ht="11.25">
      <c r="B44" s="16" t="s">
        <v>36</v>
      </c>
      <c r="C44" s="16"/>
      <c r="D44" s="16"/>
      <c r="E44" s="16">
        <v>2663.64</v>
      </c>
      <c r="F44" s="16"/>
      <c r="G44" s="35"/>
      <c r="H44" s="16">
        <v>23.88</v>
      </c>
      <c r="I44" s="16"/>
      <c r="J44" s="16"/>
      <c r="K44" s="16"/>
      <c r="L44" s="16"/>
      <c r="M44" s="16"/>
      <c r="N44" s="16"/>
      <c r="O44" s="16">
        <f t="shared" si="5"/>
        <v>2687.52</v>
      </c>
      <c r="Y44" s="18"/>
    </row>
    <row r="45" spans="2:25" s="17" customFormat="1" ht="11.25">
      <c r="B45" s="16"/>
      <c r="C45" s="16"/>
      <c r="D45" s="16"/>
      <c r="E45" s="16"/>
      <c r="F45" s="16"/>
      <c r="G45" s="35"/>
      <c r="H45" s="16"/>
      <c r="I45" s="16"/>
      <c r="J45" s="16"/>
      <c r="K45" s="16"/>
      <c r="L45" s="16"/>
      <c r="M45" s="16"/>
      <c r="N45" s="16"/>
      <c r="O45" s="16"/>
      <c r="Y45" s="18"/>
    </row>
    <row r="46" spans="2:25" s="17" customFormat="1" ht="11.25">
      <c r="B46" s="41" t="s">
        <v>107</v>
      </c>
      <c r="C46" s="16"/>
      <c r="D46" s="16"/>
      <c r="E46" s="16"/>
      <c r="F46" s="16"/>
      <c r="G46" s="35"/>
      <c r="H46" s="16"/>
      <c r="I46" s="16"/>
      <c r="J46" s="16"/>
      <c r="K46" s="16"/>
      <c r="L46" s="16"/>
      <c r="M46" s="16"/>
      <c r="N46" s="16"/>
      <c r="O46" s="16">
        <v>1886.62</v>
      </c>
      <c r="Y46" s="18"/>
    </row>
    <row r="47" spans="2:25" s="17" customFormat="1" ht="11.25">
      <c r="B47" s="16" t="s">
        <v>62</v>
      </c>
      <c r="C47" s="16"/>
      <c r="D47" s="16"/>
      <c r="E47" s="16"/>
      <c r="F47" s="16"/>
      <c r="G47" s="35">
        <v>1000</v>
      </c>
      <c r="H47" s="16"/>
      <c r="I47" s="16"/>
      <c r="J47" s="16"/>
      <c r="K47" s="16"/>
      <c r="L47" s="16"/>
      <c r="M47" s="16"/>
      <c r="N47" s="16"/>
      <c r="O47" s="16">
        <f t="shared" si="5"/>
        <v>1000</v>
      </c>
      <c r="Y47" s="18"/>
    </row>
    <row r="48" spans="2:25" s="17" customFormat="1" ht="11.25">
      <c r="B48" s="16" t="s">
        <v>70</v>
      </c>
      <c r="C48" s="16"/>
      <c r="D48" s="16"/>
      <c r="E48" s="16"/>
      <c r="F48" s="16"/>
      <c r="G48" s="35"/>
      <c r="H48" s="16"/>
      <c r="I48" s="16"/>
      <c r="J48" s="16">
        <v>306.32</v>
      </c>
      <c r="K48" s="16"/>
      <c r="L48" s="16"/>
      <c r="M48" s="16"/>
      <c r="N48" s="16"/>
      <c r="O48" s="16">
        <f t="shared" si="5"/>
        <v>306.32</v>
      </c>
      <c r="Y48" s="18"/>
    </row>
    <row r="49" spans="2:25" s="17" customFormat="1" ht="11.25">
      <c r="B49" s="19"/>
      <c r="C49" s="16"/>
      <c r="D49" s="16"/>
      <c r="E49" s="16"/>
      <c r="F49" s="16"/>
      <c r="G49" s="35"/>
      <c r="H49" s="16"/>
      <c r="I49" s="16"/>
      <c r="J49" s="16"/>
      <c r="K49" s="16"/>
      <c r="L49" s="16"/>
      <c r="M49" s="16"/>
      <c r="N49" s="16"/>
      <c r="O49" s="16">
        <f t="shared" si="5"/>
        <v>0</v>
      </c>
      <c r="Y49" s="18"/>
    </row>
    <row r="50" spans="2:25" s="17" customFormat="1" ht="11.25">
      <c r="B50" s="16"/>
      <c r="C50" s="16"/>
      <c r="D50" s="16"/>
      <c r="E50" s="16"/>
      <c r="F50" s="16"/>
      <c r="G50" s="35"/>
      <c r="H50" s="16"/>
      <c r="I50" s="16"/>
      <c r="J50" s="16"/>
      <c r="K50" s="16"/>
      <c r="L50" s="16"/>
      <c r="M50" s="16"/>
      <c r="N50" s="16"/>
      <c r="O50" s="16">
        <f t="shared" si="5"/>
        <v>0</v>
      </c>
      <c r="Y50" s="18"/>
    </row>
    <row r="51" spans="2:25" s="17" customFormat="1" ht="11.25">
      <c r="B51" s="16"/>
      <c r="C51" s="16"/>
      <c r="D51" s="16"/>
      <c r="E51" s="16"/>
      <c r="F51" s="16"/>
      <c r="G51" s="35"/>
      <c r="H51" s="16"/>
      <c r="I51" s="16"/>
      <c r="J51" s="16"/>
      <c r="K51" s="16"/>
      <c r="L51" s="16"/>
      <c r="M51" s="16"/>
      <c r="N51" s="16"/>
      <c r="O51" s="16">
        <f t="shared" si="5"/>
        <v>0</v>
      </c>
      <c r="Y51" s="18"/>
    </row>
    <row r="52" spans="2:25" s="17" customFormat="1" ht="11.25">
      <c r="B52" s="15" t="s">
        <v>14</v>
      </c>
      <c r="C52" s="15">
        <f aca="true" t="shared" si="6" ref="C52:O52">SUM(C31:C51)</f>
        <v>5839.289999999999</v>
      </c>
      <c r="D52" s="15">
        <f t="shared" si="6"/>
        <v>6576.25</v>
      </c>
      <c r="E52" s="15">
        <f t="shared" si="6"/>
        <v>8390.119999999999</v>
      </c>
      <c r="F52" s="15">
        <f t="shared" si="6"/>
        <v>5555.530000000001</v>
      </c>
      <c r="G52" s="36">
        <f t="shared" si="6"/>
        <v>8001.12</v>
      </c>
      <c r="H52" s="15">
        <f t="shared" si="6"/>
        <v>6144.329999999999</v>
      </c>
      <c r="I52" s="15">
        <f t="shared" si="6"/>
        <v>6999.530000000001</v>
      </c>
      <c r="J52" s="15">
        <f t="shared" si="6"/>
        <v>6838.88</v>
      </c>
      <c r="K52" s="15">
        <f t="shared" si="6"/>
        <v>6402.6900000000005</v>
      </c>
      <c r="L52" s="15">
        <f t="shared" si="6"/>
        <v>7776.360000000001</v>
      </c>
      <c r="M52" s="15">
        <f t="shared" si="6"/>
        <v>0</v>
      </c>
      <c r="N52" s="15">
        <f t="shared" si="6"/>
        <v>0</v>
      </c>
      <c r="O52" s="15">
        <f t="shared" si="6"/>
        <v>70410.72</v>
      </c>
      <c r="Y52" s="18"/>
    </row>
    <row r="53" ht="11.25">
      <c r="G53" s="37"/>
    </row>
    <row r="54" spans="2:15" ht="11.25">
      <c r="B54" s="20" t="s">
        <v>109</v>
      </c>
      <c r="C54" s="21">
        <f aca="true" t="shared" si="7" ref="C54:O54">C12+C23-C52</f>
        <v>14477.949999999999</v>
      </c>
      <c r="D54" s="21">
        <f t="shared" si="7"/>
        <v>16173.36</v>
      </c>
      <c r="E54" s="21">
        <f t="shared" si="7"/>
        <v>14396.850000000002</v>
      </c>
      <c r="F54" s="21">
        <f t="shared" si="7"/>
        <v>16591.660000000003</v>
      </c>
      <c r="G54" s="38">
        <f t="shared" si="7"/>
        <v>20707.320000000003</v>
      </c>
      <c r="H54" s="21">
        <f t="shared" si="7"/>
        <v>21289.890000000003</v>
      </c>
      <c r="I54" s="21">
        <f t="shared" si="7"/>
        <v>19996.280000000006</v>
      </c>
      <c r="J54" s="21">
        <f t="shared" si="7"/>
        <v>24142.490000000005</v>
      </c>
      <c r="K54" s="21">
        <f t="shared" si="7"/>
        <v>22982.560000000005</v>
      </c>
      <c r="L54" s="38">
        <f t="shared" si="7"/>
        <v>25394.510000000002</v>
      </c>
      <c r="M54" s="21">
        <f t="shared" si="7"/>
        <v>25394.510000000002</v>
      </c>
      <c r="N54" s="21">
        <f t="shared" si="7"/>
        <v>25394.510000000002</v>
      </c>
      <c r="O54" s="42">
        <f t="shared" si="7"/>
        <v>23507.89</v>
      </c>
    </row>
    <row r="55" spans="2:15" s="3" customFormat="1" ht="11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ht="11.25">
      <c r="B56" s="2" t="s">
        <v>21</v>
      </c>
    </row>
    <row r="57" ht="11.25">
      <c r="B57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58"/>
  <sheetViews>
    <sheetView zoomScale="90" zoomScaleNormal="90" zoomScalePageLayoutView="0" workbookViewId="0" topLeftCell="A25">
      <selection activeCell="O55" sqref="O55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10.12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2">
      <c r="B1" s="44" t="s">
        <v>105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2:16" ht="12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2:16" ht="12">
      <c r="B3" s="45" t="s">
        <v>106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"/>
    </row>
    <row r="4" spans="2:16" ht="12">
      <c r="B4" s="45" t="s">
        <v>113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"/>
    </row>
    <row r="6" spans="2:15" ht="11.25">
      <c r="B6" s="6" t="s">
        <v>42</v>
      </c>
      <c r="C6" s="5"/>
      <c r="D6" s="5"/>
      <c r="E6" s="5"/>
      <c r="F6" s="5"/>
      <c r="G6" s="27"/>
      <c r="H6" s="5"/>
      <c r="I6" s="5"/>
      <c r="J6" s="5"/>
      <c r="K6" s="5"/>
      <c r="L6" s="5"/>
      <c r="M6" s="5"/>
      <c r="N6" s="5"/>
      <c r="O6" s="4"/>
    </row>
    <row r="7" spans="2:15" ht="11.25">
      <c r="B7" s="5"/>
      <c r="C7" s="5" t="s">
        <v>0</v>
      </c>
      <c r="D7" s="5" t="s">
        <v>1</v>
      </c>
      <c r="E7" s="5" t="s">
        <v>2</v>
      </c>
      <c r="F7" s="5" t="s">
        <v>3</v>
      </c>
      <c r="G7" s="27" t="s">
        <v>4</v>
      </c>
      <c r="H7" s="5" t="s">
        <v>5</v>
      </c>
      <c r="I7" s="5" t="s">
        <v>6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11</v>
      </c>
      <c r="O7" s="6" t="s">
        <v>12</v>
      </c>
    </row>
    <row r="8" spans="2:15" ht="11.25">
      <c r="B8" s="5"/>
      <c r="C8" s="5"/>
      <c r="D8" s="5"/>
      <c r="E8" s="5"/>
      <c r="F8" s="5"/>
      <c r="G8" s="27"/>
      <c r="H8" s="5"/>
      <c r="I8" s="5"/>
      <c r="J8" s="5"/>
      <c r="K8" s="5"/>
      <c r="L8" s="5"/>
      <c r="M8" s="5"/>
      <c r="N8" s="5"/>
      <c r="O8" s="4"/>
    </row>
    <row r="9" spans="2:15" ht="11.25">
      <c r="B9" s="4" t="s">
        <v>39</v>
      </c>
      <c r="C9" s="5"/>
      <c r="D9" s="5"/>
      <c r="E9" s="5"/>
      <c r="F9" s="5"/>
      <c r="G9" s="27"/>
      <c r="H9" s="5"/>
      <c r="I9" s="5"/>
      <c r="J9" s="5"/>
      <c r="K9" s="5"/>
      <c r="L9" s="5"/>
      <c r="M9" s="5"/>
      <c r="N9" s="5"/>
      <c r="O9" s="4"/>
    </row>
    <row r="10" spans="2:15" ht="11.25">
      <c r="B10" s="5" t="s">
        <v>13</v>
      </c>
      <c r="C10" s="5">
        <v>-13156.09</v>
      </c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5">
        <f>C10+D10+E10+F10+G10+H10+I10+J10+K10+L10+M10+N10</f>
        <v>-13156.09</v>
      </c>
    </row>
    <row r="11" spans="2:15" s="3" customFormat="1" ht="11.25">
      <c r="B11" s="4" t="s">
        <v>14</v>
      </c>
      <c r="C11" s="4">
        <f>C10</f>
        <v>-13156.09</v>
      </c>
      <c r="D11" s="4">
        <f aca="true" t="shared" si="0" ref="D11:I11">C55</f>
        <v>-12508.239999999998</v>
      </c>
      <c r="E11" s="4">
        <f t="shared" si="0"/>
        <v>-10119.349999999997</v>
      </c>
      <c r="F11" s="4">
        <f t="shared" si="0"/>
        <v>-12099.739999999996</v>
      </c>
      <c r="G11" s="28">
        <f t="shared" si="0"/>
        <v>-11969.019999999997</v>
      </c>
      <c r="H11" s="4">
        <f t="shared" si="0"/>
        <v>-8918.939999999995</v>
      </c>
      <c r="I11" s="4">
        <f t="shared" si="0"/>
        <v>-9399.989999999994</v>
      </c>
      <c r="J11" s="4">
        <f>I55</f>
        <v>-8270.119999999994</v>
      </c>
      <c r="K11" s="4">
        <f>J55</f>
        <v>-7535.479999999992</v>
      </c>
      <c r="L11" s="4">
        <f>K55</f>
        <v>-6091.069999999992</v>
      </c>
      <c r="M11" s="4">
        <f>L55</f>
        <v>-5526.579999999989</v>
      </c>
      <c r="N11" s="4">
        <f>M55</f>
        <v>-5526.579999999989</v>
      </c>
      <c r="O11" s="4">
        <f>O10</f>
        <v>-13156.09</v>
      </c>
    </row>
    <row r="12" spans="2:15" ht="11.25">
      <c r="B12" s="5"/>
      <c r="C12" s="5"/>
      <c r="D12" s="5"/>
      <c r="E12" s="5"/>
      <c r="F12" s="5"/>
      <c r="G12" s="27"/>
      <c r="H12" s="5"/>
      <c r="I12" s="5"/>
      <c r="J12" s="5"/>
      <c r="K12" s="5"/>
      <c r="L12" s="5"/>
      <c r="M12" s="5"/>
      <c r="N12" s="5"/>
      <c r="O12" s="4"/>
    </row>
    <row r="13" spans="2:15" ht="11.25">
      <c r="B13" s="5"/>
      <c r="C13" s="5"/>
      <c r="D13" s="5"/>
      <c r="E13" s="5"/>
      <c r="F13" s="5"/>
      <c r="G13" s="27"/>
      <c r="H13" s="5"/>
      <c r="I13" s="5"/>
      <c r="J13" s="5"/>
      <c r="K13" s="5"/>
      <c r="L13" s="5"/>
      <c r="M13" s="5"/>
      <c r="N13" s="5"/>
      <c r="O13" s="4"/>
    </row>
    <row r="14" spans="2:25" s="10" customFormat="1" ht="11.25">
      <c r="B14" s="8" t="s">
        <v>15</v>
      </c>
      <c r="C14" s="9"/>
      <c r="D14" s="9"/>
      <c r="E14" s="9"/>
      <c r="F14" s="9"/>
      <c r="G14" s="29"/>
      <c r="H14" s="9"/>
      <c r="I14" s="9"/>
      <c r="J14" s="9"/>
      <c r="K14" s="9"/>
      <c r="L14" s="9"/>
      <c r="M14" s="9"/>
      <c r="N14" s="9"/>
      <c r="O14" s="8"/>
      <c r="Y14" s="11"/>
    </row>
    <row r="15" spans="2:25" s="10" customFormat="1" ht="11.25">
      <c r="B15" s="9" t="s">
        <v>13</v>
      </c>
      <c r="C15" s="9">
        <v>10019.14</v>
      </c>
      <c r="D15" s="9">
        <v>10019.14</v>
      </c>
      <c r="E15" s="9">
        <v>10019.14</v>
      </c>
      <c r="F15" s="9">
        <v>10019.14</v>
      </c>
      <c r="G15" s="9">
        <v>10019.14</v>
      </c>
      <c r="H15" s="9">
        <v>10019.14</v>
      </c>
      <c r="I15" s="9">
        <v>10678.61</v>
      </c>
      <c r="J15" s="9">
        <v>10678.61</v>
      </c>
      <c r="K15" s="9">
        <v>10678.61</v>
      </c>
      <c r="L15" s="9">
        <v>10678.61</v>
      </c>
      <c r="M15" s="9"/>
      <c r="N15" s="9"/>
      <c r="O15" s="9">
        <f>C15+D15+E15+F15+G15+H15+I15+J15+K15+L15+M15+N15</f>
        <v>102829.28</v>
      </c>
      <c r="Y15" s="11"/>
    </row>
    <row r="16" spans="2:25" s="10" customFormat="1" ht="11.25">
      <c r="B16" s="16"/>
      <c r="C16" s="9"/>
      <c r="D16" s="9"/>
      <c r="E16" s="9"/>
      <c r="F16" s="9"/>
      <c r="G16" s="29"/>
      <c r="H16" s="9"/>
      <c r="I16" s="9"/>
      <c r="J16" s="9"/>
      <c r="K16" s="9"/>
      <c r="L16" s="9"/>
      <c r="M16" s="9"/>
      <c r="N16" s="9"/>
      <c r="O16" s="9"/>
      <c r="Y16" s="11"/>
    </row>
    <row r="17" spans="2:15" s="11" customFormat="1" ht="11.25">
      <c r="B17" s="8" t="s">
        <v>14</v>
      </c>
      <c r="C17" s="8">
        <f aca="true" t="shared" si="1" ref="C17:N17">SUM(C13:C15)</f>
        <v>10019.14</v>
      </c>
      <c r="D17" s="8">
        <f t="shared" si="1"/>
        <v>10019.14</v>
      </c>
      <c r="E17" s="8">
        <f t="shared" si="1"/>
        <v>10019.14</v>
      </c>
      <c r="F17" s="8">
        <f t="shared" si="1"/>
        <v>10019.14</v>
      </c>
      <c r="G17" s="30">
        <f t="shared" si="1"/>
        <v>10019.14</v>
      </c>
      <c r="H17" s="8">
        <f t="shared" si="1"/>
        <v>10019.14</v>
      </c>
      <c r="I17" s="8">
        <f t="shared" si="1"/>
        <v>10678.61</v>
      </c>
      <c r="J17" s="8">
        <f t="shared" si="1"/>
        <v>10678.61</v>
      </c>
      <c r="K17" s="8">
        <f t="shared" si="1"/>
        <v>10678.61</v>
      </c>
      <c r="L17" s="8">
        <f t="shared" si="1"/>
        <v>10678.61</v>
      </c>
      <c r="M17" s="8">
        <f t="shared" si="1"/>
        <v>0</v>
      </c>
      <c r="N17" s="8">
        <f t="shared" si="1"/>
        <v>0</v>
      </c>
      <c r="O17" s="8">
        <f>C17+D17+E17+F17+G17+H17+I17+J17+K17+L17+M17+N17</f>
        <v>102829.28</v>
      </c>
    </row>
    <row r="18" spans="2:15" ht="11.25">
      <c r="B18" s="5"/>
      <c r="C18" s="5"/>
      <c r="D18" s="5"/>
      <c r="E18" s="5"/>
      <c r="F18" s="5"/>
      <c r="G18" s="27"/>
      <c r="H18" s="5"/>
      <c r="I18" s="5"/>
      <c r="J18" s="5"/>
      <c r="K18" s="5"/>
      <c r="L18" s="5"/>
      <c r="M18" s="5"/>
      <c r="N18" s="5"/>
      <c r="O18" s="4"/>
    </row>
    <row r="19" spans="2:25" s="25" customFormat="1" ht="11.25">
      <c r="B19" s="23" t="s">
        <v>16</v>
      </c>
      <c r="C19" s="24"/>
      <c r="D19" s="24"/>
      <c r="E19" s="24"/>
      <c r="F19" s="24"/>
      <c r="G19" s="31"/>
      <c r="H19" s="24"/>
      <c r="I19" s="24"/>
      <c r="J19" s="24"/>
      <c r="K19" s="24"/>
      <c r="L19" s="24"/>
      <c r="M19" s="24"/>
      <c r="N19" s="24"/>
      <c r="O19" s="23"/>
      <c r="Y19" s="26"/>
    </row>
    <row r="20" spans="2:25" s="25" customFormat="1" ht="11.25">
      <c r="B20" s="24" t="s">
        <v>13</v>
      </c>
      <c r="C20" s="24">
        <v>8670.95</v>
      </c>
      <c r="D20" s="24">
        <v>11268.35</v>
      </c>
      <c r="E20" s="24">
        <v>9466.65</v>
      </c>
      <c r="F20" s="24">
        <v>10780.42</v>
      </c>
      <c r="G20" s="31">
        <v>12515.27</v>
      </c>
      <c r="H20" s="24">
        <v>10011.66</v>
      </c>
      <c r="I20" s="24">
        <v>10799.04</v>
      </c>
      <c r="J20" s="24">
        <f>8233.73+1994.61</f>
        <v>10228.34</v>
      </c>
      <c r="K20" s="24">
        <v>10123.13</v>
      </c>
      <c r="L20" s="24">
        <v>10858.59</v>
      </c>
      <c r="M20" s="24"/>
      <c r="N20" s="24"/>
      <c r="O20" s="24">
        <f>C20+D20+E20+F20+G20+H20+I20+J20+K20+L20+M20+N20</f>
        <v>104722.4</v>
      </c>
      <c r="Y20" s="26"/>
    </row>
    <row r="21" spans="2:25" s="25" customFormat="1" ht="11.25">
      <c r="B21" s="16"/>
      <c r="C21" s="24"/>
      <c r="D21" s="24"/>
      <c r="E21" s="24"/>
      <c r="F21" s="24"/>
      <c r="G21" s="31"/>
      <c r="H21" s="24"/>
      <c r="I21" s="24"/>
      <c r="J21" s="24"/>
      <c r="K21" s="24"/>
      <c r="L21" s="24"/>
      <c r="M21" s="24"/>
      <c r="N21" s="24"/>
      <c r="O21" s="24"/>
      <c r="Y21" s="26"/>
    </row>
    <row r="22" spans="2:15" s="26" customFormat="1" ht="11.25">
      <c r="B22" s="23" t="s">
        <v>14</v>
      </c>
      <c r="C22" s="23">
        <f aca="true" t="shared" si="2" ref="C22:O22">SUM(C20:C21)</f>
        <v>8670.95</v>
      </c>
      <c r="D22" s="23">
        <f t="shared" si="2"/>
        <v>11268.35</v>
      </c>
      <c r="E22" s="23">
        <f t="shared" si="2"/>
        <v>9466.65</v>
      </c>
      <c r="F22" s="23">
        <f t="shared" si="2"/>
        <v>10780.42</v>
      </c>
      <c r="G22" s="32">
        <f t="shared" si="2"/>
        <v>12515.27</v>
      </c>
      <c r="H22" s="23">
        <f t="shared" si="2"/>
        <v>10011.66</v>
      </c>
      <c r="I22" s="23">
        <f t="shared" si="2"/>
        <v>10799.04</v>
      </c>
      <c r="J22" s="23">
        <f t="shared" si="2"/>
        <v>10228.34</v>
      </c>
      <c r="K22" s="23">
        <f t="shared" si="2"/>
        <v>10123.13</v>
      </c>
      <c r="L22" s="23">
        <f t="shared" si="2"/>
        <v>10858.59</v>
      </c>
      <c r="M22" s="23">
        <f t="shared" si="2"/>
        <v>0</v>
      </c>
      <c r="N22" s="23">
        <f t="shared" si="2"/>
        <v>0</v>
      </c>
      <c r="O22" s="23">
        <f t="shared" si="2"/>
        <v>104722.4</v>
      </c>
    </row>
    <row r="23" spans="2:15" ht="11.25">
      <c r="B23" s="5"/>
      <c r="C23" s="5"/>
      <c r="D23" s="5"/>
      <c r="E23" s="5"/>
      <c r="F23" s="5"/>
      <c r="G23" s="27"/>
      <c r="H23" s="5"/>
      <c r="I23" s="5"/>
      <c r="J23" s="5"/>
      <c r="K23" s="5"/>
      <c r="L23" s="5"/>
      <c r="M23" s="5"/>
      <c r="N23" s="5"/>
      <c r="O23" s="4"/>
    </row>
    <row r="24" spans="2:15" ht="11.25">
      <c r="B24" s="4" t="s">
        <v>17</v>
      </c>
      <c r="C24" s="12">
        <f aca="true" t="shared" si="3" ref="C24:O24">C22/C17</f>
        <v>0.8654385506141247</v>
      </c>
      <c r="D24" s="12">
        <f t="shared" si="3"/>
        <v>1.1246823579668515</v>
      </c>
      <c r="E24" s="12">
        <f t="shared" si="3"/>
        <v>0.944856544573686</v>
      </c>
      <c r="F24" s="12">
        <f t="shared" si="3"/>
        <v>1.0759825693622407</v>
      </c>
      <c r="G24" s="33">
        <f t="shared" si="3"/>
        <v>1.249136153402388</v>
      </c>
      <c r="H24" s="12">
        <f t="shared" si="3"/>
        <v>0.9992534289370146</v>
      </c>
      <c r="I24" s="12">
        <f t="shared" si="3"/>
        <v>1.0112776850170575</v>
      </c>
      <c r="J24" s="12">
        <f t="shared" si="3"/>
        <v>0.9578343997954789</v>
      </c>
      <c r="K24" s="12">
        <f t="shared" si="3"/>
        <v>0.9479819939111924</v>
      </c>
      <c r="L24" s="12">
        <f t="shared" si="3"/>
        <v>1.0168542535030307</v>
      </c>
      <c r="M24" s="12" t="e">
        <f t="shared" si="3"/>
        <v>#DIV/0!</v>
      </c>
      <c r="N24" s="12" t="e">
        <f t="shared" si="3"/>
        <v>#DIV/0!</v>
      </c>
      <c r="O24" s="13">
        <f t="shared" si="3"/>
        <v>1.0184103204845933</v>
      </c>
    </row>
    <row r="25" spans="2:15" ht="11.25">
      <c r="B25" s="4"/>
      <c r="C25" s="12"/>
      <c r="D25" s="12"/>
      <c r="E25" s="12"/>
      <c r="F25" s="12"/>
      <c r="G25" s="33"/>
      <c r="H25" s="12"/>
      <c r="I25" s="12"/>
      <c r="J25" s="12"/>
      <c r="K25" s="12"/>
      <c r="L25" s="12"/>
      <c r="M25" s="12"/>
      <c r="N25" s="12"/>
      <c r="O25" s="14"/>
    </row>
    <row r="26" spans="2:15" ht="11.25">
      <c r="B26" s="4" t="s">
        <v>18</v>
      </c>
      <c r="C26" s="7">
        <f aca="true" t="shared" si="4" ref="C26:O26">C17-C22</f>
        <v>1348.1899999999987</v>
      </c>
      <c r="D26" s="7">
        <f t="shared" si="4"/>
        <v>-1249.210000000001</v>
      </c>
      <c r="E26" s="7">
        <f t="shared" si="4"/>
        <v>552.4899999999998</v>
      </c>
      <c r="F26" s="7">
        <f t="shared" si="4"/>
        <v>-761.2800000000007</v>
      </c>
      <c r="G26" s="34">
        <f t="shared" si="4"/>
        <v>-2496.130000000001</v>
      </c>
      <c r="H26" s="7">
        <f t="shared" si="4"/>
        <v>7.479999999999563</v>
      </c>
      <c r="I26" s="7">
        <f t="shared" si="4"/>
        <v>-120.43000000000029</v>
      </c>
      <c r="J26" s="7">
        <f t="shared" si="4"/>
        <v>450.27000000000044</v>
      </c>
      <c r="K26" s="7">
        <f t="shared" si="4"/>
        <v>555.4800000000014</v>
      </c>
      <c r="L26" s="7">
        <f t="shared" si="4"/>
        <v>-179.97999999999956</v>
      </c>
      <c r="M26" s="7">
        <f t="shared" si="4"/>
        <v>0</v>
      </c>
      <c r="N26" s="7">
        <f t="shared" si="4"/>
        <v>0</v>
      </c>
      <c r="O26" s="7">
        <f t="shared" si="4"/>
        <v>-1893.1199999999953</v>
      </c>
    </row>
    <row r="27" spans="2:15" ht="11.25">
      <c r="B27" s="5"/>
      <c r="C27" s="5"/>
      <c r="D27" s="5"/>
      <c r="E27" s="5"/>
      <c r="F27" s="5"/>
      <c r="G27" s="27"/>
      <c r="H27" s="5"/>
      <c r="I27" s="5"/>
      <c r="J27" s="5"/>
      <c r="K27" s="5"/>
      <c r="L27" s="5"/>
      <c r="M27" s="5"/>
      <c r="N27" s="5"/>
      <c r="O27" s="4"/>
    </row>
    <row r="28" spans="2:25" s="17" customFormat="1" ht="11.25">
      <c r="B28" s="15" t="s">
        <v>19</v>
      </c>
      <c r="C28" s="16"/>
      <c r="D28" s="16"/>
      <c r="E28" s="16"/>
      <c r="F28" s="16"/>
      <c r="G28" s="35"/>
      <c r="H28" s="16"/>
      <c r="I28" s="16"/>
      <c r="J28" s="16"/>
      <c r="K28" s="16"/>
      <c r="L28" s="16"/>
      <c r="M28" s="16"/>
      <c r="N28" s="16"/>
      <c r="O28" s="15"/>
      <c r="Y28" s="18"/>
    </row>
    <row r="29" spans="2:25" s="17" customFormat="1" ht="11.25">
      <c r="B29" s="16"/>
      <c r="C29" s="16"/>
      <c r="D29" s="16"/>
      <c r="E29" s="16"/>
      <c r="F29" s="16"/>
      <c r="G29" s="35"/>
      <c r="H29" s="16"/>
      <c r="I29" s="16"/>
      <c r="J29" s="16"/>
      <c r="K29" s="16"/>
      <c r="L29" s="16"/>
      <c r="M29" s="16"/>
      <c r="N29" s="16"/>
      <c r="O29" s="15"/>
      <c r="Y29" s="18"/>
    </row>
    <row r="30" spans="2:25" s="17" customFormat="1" ht="11.25">
      <c r="B30" s="16" t="s">
        <v>20</v>
      </c>
      <c r="C30" s="16">
        <v>111.1</v>
      </c>
      <c r="D30" s="16">
        <v>288.69</v>
      </c>
      <c r="E30" s="16">
        <v>397.4</v>
      </c>
      <c r="F30" s="16">
        <v>402.62</v>
      </c>
      <c r="G30" s="35">
        <v>653.08</v>
      </c>
      <c r="H30" s="16">
        <v>715.1</v>
      </c>
      <c r="I30" s="16">
        <v>437.11</v>
      </c>
      <c r="J30" s="16">
        <v>301.54</v>
      </c>
      <c r="K30" s="16">
        <v>336.54</v>
      </c>
      <c r="L30" s="16">
        <v>818.29</v>
      </c>
      <c r="M30" s="16"/>
      <c r="N30" s="16"/>
      <c r="O30" s="16">
        <f>C30+D30+E30+F30+G30+H30+I30+J30+K30+L30+M30+N30</f>
        <v>4461.469999999999</v>
      </c>
      <c r="Y30" s="18"/>
    </row>
    <row r="31" spans="2:25" s="17" customFormat="1" ht="11.25">
      <c r="B31" s="16" t="s">
        <v>32</v>
      </c>
      <c r="C31" s="16">
        <f>3780.99+92.44</f>
        <v>3873.43</v>
      </c>
      <c r="D31" s="16">
        <f>3688.55+252</f>
        <v>3940.55</v>
      </c>
      <c r="E31" s="16">
        <v>3780.99</v>
      </c>
      <c r="F31" s="16">
        <v>3780.99</v>
      </c>
      <c r="G31" s="35">
        <v>3780.99</v>
      </c>
      <c r="H31" s="16">
        <v>3780.99</v>
      </c>
      <c r="I31" s="16">
        <v>3780.99</v>
      </c>
      <c r="J31" s="16">
        <v>3780.99</v>
      </c>
      <c r="K31" s="16">
        <v>3780.99</v>
      </c>
      <c r="L31" s="16">
        <v>3780.99</v>
      </c>
      <c r="M31" s="16"/>
      <c r="N31" s="16"/>
      <c r="O31" s="16">
        <f aca="true" t="shared" si="5" ref="O31:O52">C31+D31+E31+F31+G31+H31+I31+J31+K31+L31+M31+N31</f>
        <v>38061.89999999999</v>
      </c>
      <c r="Y31" s="18"/>
    </row>
    <row r="32" spans="2:25" s="17" customFormat="1" ht="11.25">
      <c r="B32" s="16" t="s">
        <v>26</v>
      </c>
      <c r="C32" s="16">
        <f>724.75+310.67</f>
        <v>1035.42</v>
      </c>
      <c r="D32" s="16">
        <f>1113.85+376.08</f>
        <v>1489.9299999999998</v>
      </c>
      <c r="E32" s="16">
        <f>1113.85+376.08</f>
        <v>1489.9299999999998</v>
      </c>
      <c r="F32" s="16">
        <f>487.6+554.64+376.08</f>
        <v>1418.32</v>
      </c>
      <c r="G32" s="35">
        <f>559.2+1113.85</f>
        <v>1673.05</v>
      </c>
      <c r="H32" s="16">
        <f>1113.85+376.08</f>
        <v>1489.9299999999998</v>
      </c>
      <c r="I32" s="16">
        <f>1113.85+376.08</f>
        <v>1489.9299999999998</v>
      </c>
      <c r="J32" s="16">
        <f>1113.85+376.08</f>
        <v>1489.9299999999998</v>
      </c>
      <c r="K32" s="16">
        <f>1113.85+376.08</f>
        <v>1489.9299999999998</v>
      </c>
      <c r="L32" s="16">
        <f>1113.85+376.08</f>
        <v>1489.9299999999998</v>
      </c>
      <c r="M32" s="16"/>
      <c r="N32" s="16"/>
      <c r="O32" s="16">
        <f t="shared" si="5"/>
        <v>14556.300000000001</v>
      </c>
      <c r="Y32" s="18"/>
    </row>
    <row r="33" spans="2:25" s="17" customFormat="1" ht="11.25">
      <c r="B33" s="16" t="s">
        <v>27</v>
      </c>
      <c r="C33" s="16">
        <f>277.86+1781.77</f>
        <v>2059.63</v>
      </c>
      <c r="D33" s="16">
        <f>184.88+1781.77</f>
        <v>1966.65</v>
      </c>
      <c r="E33" s="16">
        <v>1781.77</v>
      </c>
      <c r="F33" s="16">
        <v>554.64</v>
      </c>
      <c r="G33" s="35">
        <f>1227.13+924.4+376.08</f>
        <v>2527.61</v>
      </c>
      <c r="H33" s="16">
        <f>857.37+924.4</f>
        <v>1781.77</v>
      </c>
      <c r="I33" s="16">
        <f>857.37+924.4</f>
        <v>1781.77</v>
      </c>
      <c r="J33" s="16">
        <f>1982.4+44.87</f>
        <v>2027.27</v>
      </c>
      <c r="K33" s="16">
        <f>1982.4+44.87</f>
        <v>2027.27</v>
      </c>
      <c r="L33" s="16">
        <f>1982.4+44.87+857.37</f>
        <v>2884.64</v>
      </c>
      <c r="M33" s="16"/>
      <c r="N33" s="16"/>
      <c r="O33" s="16">
        <f t="shared" si="5"/>
        <v>19393.02</v>
      </c>
      <c r="Y33" s="18"/>
    </row>
    <row r="34" spans="2:25" s="17" customFormat="1" ht="11.25">
      <c r="B34" s="16" t="s">
        <v>23</v>
      </c>
      <c r="C34" s="16"/>
      <c r="D34" s="16"/>
      <c r="E34" s="16"/>
      <c r="F34" s="16"/>
      <c r="G34" s="35"/>
      <c r="H34" s="16"/>
      <c r="I34" s="16"/>
      <c r="J34" s="16"/>
      <c r="K34" s="16"/>
      <c r="L34" s="16"/>
      <c r="M34" s="16"/>
      <c r="N34" s="16"/>
      <c r="O34" s="16">
        <f t="shared" si="5"/>
        <v>0</v>
      </c>
      <c r="Y34" s="18"/>
    </row>
    <row r="35" spans="2:25" s="17" customFormat="1" ht="11.25">
      <c r="B35" s="19" t="s">
        <v>28</v>
      </c>
      <c r="C35" s="16">
        <v>10.71</v>
      </c>
      <c r="D35" s="16">
        <v>10.71</v>
      </c>
      <c r="E35" s="16">
        <v>10.71</v>
      </c>
      <c r="F35" s="16">
        <v>10.71</v>
      </c>
      <c r="G35" s="35"/>
      <c r="H35" s="16"/>
      <c r="I35" s="16">
        <v>10.71</v>
      </c>
      <c r="J35" s="16">
        <v>10.71</v>
      </c>
      <c r="K35" s="16">
        <v>10.71</v>
      </c>
      <c r="L35" s="16">
        <v>10.71</v>
      </c>
      <c r="M35" s="16"/>
      <c r="N35" s="16"/>
      <c r="O35" s="16">
        <f t="shared" si="5"/>
        <v>85.68</v>
      </c>
      <c r="Y35" s="18"/>
    </row>
    <row r="36" spans="2:25" s="17" customFormat="1" ht="11.25">
      <c r="B36" s="16" t="s">
        <v>29</v>
      </c>
      <c r="C36" s="16"/>
      <c r="D36" s="16"/>
      <c r="E36" s="16"/>
      <c r="F36" s="16"/>
      <c r="G36" s="35"/>
      <c r="H36" s="16"/>
      <c r="I36" s="16"/>
      <c r="J36" s="16"/>
      <c r="K36" s="16"/>
      <c r="L36" s="16"/>
      <c r="M36" s="16"/>
      <c r="N36" s="16"/>
      <c r="O36" s="16">
        <f t="shared" si="5"/>
        <v>0</v>
      </c>
      <c r="Y36" s="18"/>
    </row>
    <row r="37" spans="2:25" s="17" customFormat="1" ht="11.25">
      <c r="B37" s="16" t="s">
        <v>25</v>
      </c>
      <c r="C37" s="16"/>
      <c r="D37" s="16"/>
      <c r="E37" s="16"/>
      <c r="F37" s="16"/>
      <c r="G37" s="35"/>
      <c r="H37" s="16"/>
      <c r="I37" s="16"/>
      <c r="J37" s="16"/>
      <c r="K37" s="16"/>
      <c r="L37" s="16"/>
      <c r="M37" s="16"/>
      <c r="N37" s="16"/>
      <c r="O37" s="16">
        <f t="shared" si="5"/>
        <v>0</v>
      </c>
      <c r="Y37" s="18"/>
    </row>
    <row r="38" spans="2:25" s="17" customFormat="1" ht="11.25">
      <c r="B38" s="16" t="s">
        <v>31</v>
      </c>
      <c r="C38" s="16">
        <f>585.35+74.12</f>
        <v>659.47</v>
      </c>
      <c r="D38" s="16">
        <f>407.47+252</f>
        <v>659.47</v>
      </c>
      <c r="E38" s="16"/>
      <c r="F38" s="16">
        <f>463.69+195.78</f>
        <v>659.47</v>
      </c>
      <c r="G38" s="35">
        <f>464.35+195.13</f>
        <v>659.48</v>
      </c>
      <c r="H38" s="16"/>
      <c r="I38" s="16">
        <f>455.12+438.42+204.35+221.06</f>
        <v>1318.9499999999998</v>
      </c>
      <c r="J38" s="16">
        <f>486.92+172.55</f>
        <v>659.47</v>
      </c>
      <c r="K38" s="16">
        <f>509.66+149.82</f>
        <v>659.48</v>
      </c>
      <c r="L38" s="16">
        <f>471.39+188.08</f>
        <v>659.47</v>
      </c>
      <c r="M38" s="16"/>
      <c r="N38" s="16"/>
      <c r="O38" s="16">
        <f t="shared" si="5"/>
        <v>5935.260000000001</v>
      </c>
      <c r="Y38" s="18"/>
    </row>
    <row r="39" spans="2:25" s="17" customFormat="1" ht="11.25">
      <c r="B39" s="16" t="s">
        <v>30</v>
      </c>
      <c r="C39" s="16">
        <v>170.98</v>
      </c>
      <c r="D39" s="16">
        <v>170.98</v>
      </c>
      <c r="E39" s="16">
        <v>170.98</v>
      </c>
      <c r="F39" s="16">
        <v>170.98</v>
      </c>
      <c r="G39" s="35">
        <v>170.98</v>
      </c>
      <c r="H39" s="16">
        <v>170.98</v>
      </c>
      <c r="I39" s="16">
        <v>170.98</v>
      </c>
      <c r="J39" s="16">
        <v>170.98</v>
      </c>
      <c r="K39" s="16">
        <v>170.98</v>
      </c>
      <c r="L39" s="16">
        <v>170.98</v>
      </c>
      <c r="M39" s="16"/>
      <c r="N39" s="16"/>
      <c r="O39" s="16">
        <f t="shared" si="5"/>
        <v>1709.8</v>
      </c>
      <c r="Y39" s="18"/>
    </row>
    <row r="40" spans="2:25" s="17" customFormat="1" ht="11.25">
      <c r="B40" s="16" t="s">
        <v>24</v>
      </c>
      <c r="C40" s="16">
        <v>102.36</v>
      </c>
      <c r="D40" s="16">
        <v>352.48</v>
      </c>
      <c r="E40" s="16">
        <v>117.65</v>
      </c>
      <c r="F40" s="16">
        <v>401.97</v>
      </c>
      <c r="G40" s="35"/>
      <c r="H40" s="16">
        <v>201.65</v>
      </c>
      <c r="I40" s="16">
        <v>466.28</v>
      </c>
      <c r="J40" s="16">
        <v>374.82</v>
      </c>
      <c r="K40" s="16">
        <v>202.82</v>
      </c>
      <c r="L40" s="16">
        <v>479.09</v>
      </c>
      <c r="M40" s="16"/>
      <c r="N40" s="16"/>
      <c r="O40" s="16">
        <f t="shared" si="5"/>
        <v>2699.1200000000003</v>
      </c>
      <c r="Y40" s="18"/>
    </row>
    <row r="41" spans="2:25" s="17" customFormat="1" ht="11.25">
      <c r="B41" s="16" t="s">
        <v>34</v>
      </c>
      <c r="C41" s="16"/>
      <c r="D41" s="16"/>
      <c r="E41" s="16"/>
      <c r="F41" s="16"/>
      <c r="G41" s="35"/>
      <c r="H41" s="16"/>
      <c r="I41" s="16"/>
      <c r="J41" s="16"/>
      <c r="K41" s="16"/>
      <c r="L41" s="16"/>
      <c r="M41" s="16"/>
      <c r="N41" s="16"/>
      <c r="O41" s="16">
        <f t="shared" si="5"/>
        <v>0</v>
      </c>
      <c r="Y41" s="18"/>
    </row>
    <row r="42" spans="2:25" s="17" customFormat="1" ht="11.25">
      <c r="B42" s="16" t="s">
        <v>35</v>
      </c>
      <c r="C42" s="16"/>
      <c r="D42" s="16"/>
      <c r="E42" s="16"/>
      <c r="F42" s="16"/>
      <c r="G42" s="35"/>
      <c r="H42" s="16">
        <f>212.45+139.84</f>
        <v>352.28999999999996</v>
      </c>
      <c r="I42" s="16">
        <v>212.45</v>
      </c>
      <c r="J42" s="16">
        <f>212.45+23.88+16.43</f>
        <v>252.76</v>
      </c>
      <c r="K42" s="16"/>
      <c r="L42" s="16"/>
      <c r="M42" s="16"/>
      <c r="N42" s="16"/>
      <c r="O42" s="16">
        <f t="shared" si="5"/>
        <v>817.5</v>
      </c>
      <c r="Y42" s="18"/>
    </row>
    <row r="43" spans="2:25" s="17" customFormat="1" ht="11.25">
      <c r="B43" s="16" t="s">
        <v>36</v>
      </c>
      <c r="C43" s="16"/>
      <c r="D43" s="16"/>
      <c r="E43" s="16">
        <v>3697.61</v>
      </c>
      <c r="F43" s="16"/>
      <c r="G43" s="35"/>
      <c r="H43" s="16"/>
      <c r="I43" s="16"/>
      <c r="J43" s="16"/>
      <c r="K43" s="16"/>
      <c r="L43" s="16"/>
      <c r="M43" s="16"/>
      <c r="N43" s="16"/>
      <c r="O43" s="16">
        <f t="shared" si="5"/>
        <v>3697.61</v>
      </c>
      <c r="Y43" s="18"/>
    </row>
    <row r="44" spans="2:25" s="17" customFormat="1" ht="11.25">
      <c r="B44" s="16"/>
      <c r="C44" s="16"/>
      <c r="D44" s="16"/>
      <c r="E44" s="16"/>
      <c r="F44" s="16"/>
      <c r="G44" s="35"/>
      <c r="H44" s="16"/>
      <c r="I44" s="16"/>
      <c r="J44" s="16"/>
      <c r="K44" s="16"/>
      <c r="L44" s="16"/>
      <c r="M44" s="16"/>
      <c r="N44" s="16"/>
      <c r="O44" s="16"/>
      <c r="Y44" s="18"/>
    </row>
    <row r="45" spans="2:25" s="17" customFormat="1" ht="11.25">
      <c r="B45" s="41" t="s">
        <v>107</v>
      </c>
      <c r="C45" s="16"/>
      <c r="D45" s="16"/>
      <c r="E45" s="16"/>
      <c r="F45" s="16"/>
      <c r="G45" s="35"/>
      <c r="H45" s="16"/>
      <c r="I45" s="16"/>
      <c r="J45" s="16"/>
      <c r="K45" s="16"/>
      <c r="L45" s="16"/>
      <c r="M45" s="16"/>
      <c r="N45" s="16"/>
      <c r="O45" s="16">
        <v>2008.08</v>
      </c>
      <c r="Y45" s="18"/>
    </row>
    <row r="46" spans="2:25" s="17" customFormat="1" ht="11.25">
      <c r="B46" s="16" t="s">
        <v>55</v>
      </c>
      <c r="C46" s="16"/>
      <c r="D46" s="16"/>
      <c r="E46" s="16"/>
      <c r="F46" s="16">
        <v>1250</v>
      </c>
      <c r="G46" s="35"/>
      <c r="H46" s="16"/>
      <c r="I46" s="16"/>
      <c r="J46" s="16"/>
      <c r="K46" s="16"/>
      <c r="L46" s="16"/>
      <c r="M46" s="16"/>
      <c r="N46" s="16"/>
      <c r="O46" s="16">
        <f t="shared" si="5"/>
        <v>1250</v>
      </c>
      <c r="Y46" s="18"/>
    </row>
    <row r="47" spans="2:25" s="17" customFormat="1" ht="11.25">
      <c r="B47" s="16" t="s">
        <v>56</v>
      </c>
      <c r="C47" s="16"/>
      <c r="D47" s="16"/>
      <c r="E47" s="16"/>
      <c r="F47" s="16">
        <v>2000</v>
      </c>
      <c r="G47" s="35"/>
      <c r="H47" s="16"/>
      <c r="I47" s="16"/>
      <c r="J47" s="16"/>
      <c r="K47" s="16"/>
      <c r="L47" s="16"/>
      <c r="M47" s="16"/>
      <c r="N47" s="16"/>
      <c r="O47" s="16">
        <f t="shared" si="5"/>
        <v>2000</v>
      </c>
      <c r="Y47" s="18"/>
    </row>
    <row r="48" spans="2:25" s="17" customFormat="1" ht="11.25">
      <c r="B48" s="16" t="s">
        <v>71</v>
      </c>
      <c r="C48" s="16"/>
      <c r="D48" s="16"/>
      <c r="E48" s="16"/>
      <c r="F48" s="16"/>
      <c r="G48" s="35"/>
      <c r="H48" s="16">
        <v>2000</v>
      </c>
      <c r="I48" s="16"/>
      <c r="J48" s="16"/>
      <c r="K48" s="16"/>
      <c r="L48" s="16"/>
      <c r="M48" s="16"/>
      <c r="N48" s="16"/>
      <c r="O48" s="16">
        <f t="shared" si="5"/>
        <v>2000</v>
      </c>
      <c r="Y48" s="18"/>
    </row>
    <row r="49" spans="2:25" s="17" customFormat="1" ht="11.25">
      <c r="B49" s="16" t="s">
        <v>70</v>
      </c>
      <c r="C49" s="16"/>
      <c r="D49" s="16"/>
      <c r="E49" s="16"/>
      <c r="F49" s="16"/>
      <c r="G49" s="35"/>
      <c r="H49" s="16"/>
      <c r="I49" s="16"/>
      <c r="J49" s="16">
        <v>425.23</v>
      </c>
      <c r="K49" s="16"/>
      <c r="L49" s="16"/>
      <c r="M49" s="16"/>
      <c r="N49" s="16"/>
      <c r="O49" s="16">
        <f t="shared" si="5"/>
        <v>425.23</v>
      </c>
      <c r="Y49" s="18"/>
    </row>
    <row r="50" spans="2:25" s="17" customFormat="1" ht="11.25">
      <c r="B50" s="16"/>
      <c r="C50" s="16"/>
      <c r="D50" s="16"/>
      <c r="E50" s="16"/>
      <c r="F50" s="16"/>
      <c r="G50" s="35"/>
      <c r="H50" s="16"/>
      <c r="I50" s="16"/>
      <c r="J50" s="16"/>
      <c r="K50" s="16"/>
      <c r="L50" s="16"/>
      <c r="M50" s="16"/>
      <c r="N50" s="16"/>
      <c r="O50" s="16">
        <f t="shared" si="5"/>
        <v>0</v>
      </c>
      <c r="Y50" s="18"/>
    </row>
    <row r="51" spans="2:25" s="17" customFormat="1" ht="11.25">
      <c r="B51" s="16"/>
      <c r="C51" s="16"/>
      <c r="D51" s="16"/>
      <c r="E51" s="16"/>
      <c r="F51" s="16"/>
      <c r="G51" s="35"/>
      <c r="H51" s="16"/>
      <c r="I51" s="16"/>
      <c r="J51" s="16"/>
      <c r="K51" s="16"/>
      <c r="L51" s="16"/>
      <c r="M51" s="16"/>
      <c r="N51" s="16"/>
      <c r="O51" s="16">
        <f t="shared" si="5"/>
        <v>0</v>
      </c>
      <c r="Y51" s="18"/>
    </row>
    <row r="52" spans="2:25" s="17" customFormat="1" ht="11.25">
      <c r="B52" s="16"/>
      <c r="C52" s="16"/>
      <c r="D52" s="16"/>
      <c r="E52" s="16"/>
      <c r="F52" s="16"/>
      <c r="G52" s="35"/>
      <c r="H52" s="16"/>
      <c r="I52" s="16"/>
      <c r="J52" s="16"/>
      <c r="K52" s="16"/>
      <c r="L52" s="16"/>
      <c r="M52" s="16"/>
      <c r="N52" s="16"/>
      <c r="O52" s="16">
        <f t="shared" si="5"/>
        <v>0</v>
      </c>
      <c r="Y52" s="18"/>
    </row>
    <row r="53" spans="2:25" s="17" customFormat="1" ht="11.25">
      <c r="B53" s="15" t="s">
        <v>14</v>
      </c>
      <c r="C53" s="15">
        <f aca="true" t="shared" si="6" ref="C53:O53">SUM(C30:C52)</f>
        <v>8023.099999999999</v>
      </c>
      <c r="D53" s="15">
        <f t="shared" si="6"/>
        <v>8879.46</v>
      </c>
      <c r="E53" s="15">
        <f t="shared" si="6"/>
        <v>11447.039999999999</v>
      </c>
      <c r="F53" s="15">
        <f t="shared" si="6"/>
        <v>10649.7</v>
      </c>
      <c r="G53" s="36">
        <f t="shared" si="6"/>
        <v>9465.189999999999</v>
      </c>
      <c r="H53" s="15">
        <f t="shared" si="6"/>
        <v>10492.71</v>
      </c>
      <c r="I53" s="15">
        <f t="shared" si="6"/>
        <v>9669.17</v>
      </c>
      <c r="J53" s="15">
        <f t="shared" si="6"/>
        <v>9493.699999999999</v>
      </c>
      <c r="K53" s="15">
        <f t="shared" si="6"/>
        <v>8678.72</v>
      </c>
      <c r="L53" s="15">
        <f t="shared" si="6"/>
        <v>10294.099999999997</v>
      </c>
      <c r="M53" s="15">
        <f t="shared" si="6"/>
        <v>0</v>
      </c>
      <c r="N53" s="15">
        <f t="shared" si="6"/>
        <v>0</v>
      </c>
      <c r="O53" s="15">
        <f t="shared" si="6"/>
        <v>99100.96999999997</v>
      </c>
      <c r="Y53" s="18"/>
    </row>
    <row r="54" ht="11.25">
      <c r="G54" s="37"/>
    </row>
    <row r="55" spans="2:15" ht="11.25">
      <c r="B55" s="20" t="s">
        <v>109</v>
      </c>
      <c r="C55" s="21">
        <f aca="true" t="shared" si="7" ref="C55:O55">C11+C22-C53</f>
        <v>-12508.239999999998</v>
      </c>
      <c r="D55" s="21">
        <f t="shared" si="7"/>
        <v>-10119.349999999997</v>
      </c>
      <c r="E55" s="21">
        <f t="shared" si="7"/>
        <v>-12099.739999999996</v>
      </c>
      <c r="F55" s="21">
        <f t="shared" si="7"/>
        <v>-11969.019999999997</v>
      </c>
      <c r="G55" s="38">
        <f t="shared" si="7"/>
        <v>-8918.939999999995</v>
      </c>
      <c r="H55" s="21">
        <f t="shared" si="7"/>
        <v>-9399.989999999994</v>
      </c>
      <c r="I55" s="21">
        <f t="shared" si="7"/>
        <v>-8270.119999999994</v>
      </c>
      <c r="J55" s="21">
        <f t="shared" si="7"/>
        <v>-7535.479999999992</v>
      </c>
      <c r="K55" s="21">
        <f t="shared" si="7"/>
        <v>-6091.069999999992</v>
      </c>
      <c r="L55" s="38">
        <f t="shared" si="7"/>
        <v>-5526.579999999989</v>
      </c>
      <c r="M55" s="21">
        <f t="shared" si="7"/>
        <v>-5526.579999999989</v>
      </c>
      <c r="N55" s="21">
        <f t="shared" si="7"/>
        <v>-5526.579999999989</v>
      </c>
      <c r="O55" s="42">
        <f t="shared" si="7"/>
        <v>-7534.659999999974</v>
      </c>
    </row>
    <row r="56" spans="2:15" s="3" customFormat="1" ht="11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ht="11.25">
      <c r="B57" s="2" t="s">
        <v>21</v>
      </c>
    </row>
    <row r="58" ht="11.25">
      <c r="B58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59"/>
  <sheetViews>
    <sheetView zoomScale="90" zoomScaleNormal="90" zoomScalePageLayoutView="0" workbookViewId="0" topLeftCell="A1">
      <pane xSplit="2" ySplit="8" topLeftCell="H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44" sqref="Q44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8.62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2">
      <c r="B1" s="44" t="s">
        <v>105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2:16" ht="12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2:16" ht="12">
      <c r="B3" s="45" t="s">
        <v>106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"/>
    </row>
    <row r="4" spans="2:16" ht="12">
      <c r="B4" s="45" t="s">
        <v>114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"/>
    </row>
    <row r="5" ht="11.25">
      <c r="P5" s="1"/>
    </row>
    <row r="7" spans="2:15" ht="11.25">
      <c r="B7" s="6" t="s">
        <v>43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1.25">
      <c r="B8" s="5"/>
      <c r="C8" s="5" t="s">
        <v>0</v>
      </c>
      <c r="D8" s="5" t="s">
        <v>1</v>
      </c>
      <c r="E8" s="5" t="s">
        <v>2</v>
      </c>
      <c r="F8" s="5" t="s">
        <v>3</v>
      </c>
      <c r="G8" s="27" t="s">
        <v>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10</v>
      </c>
      <c r="N8" s="5" t="s">
        <v>11</v>
      </c>
      <c r="O8" s="6" t="s">
        <v>12</v>
      </c>
    </row>
    <row r="9" spans="2:15" ht="11.25">
      <c r="B9" s="5"/>
      <c r="C9" s="5"/>
      <c r="D9" s="5"/>
      <c r="E9" s="5"/>
      <c r="F9" s="5"/>
      <c r="G9" s="27"/>
      <c r="H9" s="5"/>
      <c r="I9" s="5"/>
      <c r="J9" s="5"/>
      <c r="K9" s="5"/>
      <c r="L9" s="5"/>
      <c r="M9" s="5"/>
      <c r="N9" s="5"/>
      <c r="O9" s="4"/>
    </row>
    <row r="10" spans="2:15" ht="11.25">
      <c r="B10" s="4" t="s">
        <v>39</v>
      </c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1.25">
      <c r="B11" s="5" t="s">
        <v>13</v>
      </c>
      <c r="C11" s="5">
        <v>32919.34</v>
      </c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5">
        <f>C11+D11+E11+F11+G11+H11+I11+J11+K11+L11+M11+N11</f>
        <v>32919.34</v>
      </c>
    </row>
    <row r="12" spans="2:15" s="3" customFormat="1" ht="11.25">
      <c r="B12" s="4" t="s">
        <v>14</v>
      </c>
      <c r="C12" s="4">
        <f>C11</f>
        <v>32919.34</v>
      </c>
      <c r="D12" s="4">
        <f aca="true" t="shared" si="0" ref="D12:I12">C56</f>
        <v>33769.97</v>
      </c>
      <c r="E12" s="4">
        <f t="shared" si="0"/>
        <v>32410.21</v>
      </c>
      <c r="F12" s="4">
        <f t="shared" si="0"/>
        <v>32609.590000000004</v>
      </c>
      <c r="G12" s="28">
        <f t="shared" si="0"/>
        <v>32536.680000000004</v>
      </c>
      <c r="H12" s="4">
        <f t="shared" si="0"/>
        <v>39780.41</v>
      </c>
      <c r="I12" s="4">
        <f t="shared" si="0"/>
        <v>38081.29000000001</v>
      </c>
      <c r="J12" s="4">
        <f>I56</f>
        <v>37892.08000000001</v>
      </c>
      <c r="K12" s="4">
        <f>J56</f>
        <v>16258.060000000016</v>
      </c>
      <c r="L12" s="4">
        <f>K56</f>
        <v>15205.740000000018</v>
      </c>
      <c r="M12" s="4">
        <f>L56</f>
        <v>10438.650000000021</v>
      </c>
      <c r="N12" s="4">
        <f>M56</f>
        <v>10438.650000000021</v>
      </c>
      <c r="O12" s="4">
        <f>O11</f>
        <v>32919.34</v>
      </c>
    </row>
    <row r="13" spans="2:15" ht="11.25">
      <c r="B13" s="5"/>
      <c r="C13" s="5"/>
      <c r="D13" s="5"/>
      <c r="E13" s="5"/>
      <c r="F13" s="5"/>
      <c r="G13" s="27"/>
      <c r="H13" s="5"/>
      <c r="I13" s="5"/>
      <c r="J13" s="5"/>
      <c r="K13" s="5"/>
      <c r="L13" s="5"/>
      <c r="M13" s="5"/>
      <c r="N13" s="5"/>
      <c r="O13" s="4"/>
    </row>
    <row r="14" spans="2:15" ht="11.25">
      <c r="B14" s="5"/>
      <c r="C14" s="5"/>
      <c r="D14" s="5"/>
      <c r="E14" s="5"/>
      <c r="F14" s="5"/>
      <c r="G14" s="27"/>
      <c r="H14" s="5"/>
      <c r="I14" s="5"/>
      <c r="J14" s="5"/>
      <c r="K14" s="5"/>
      <c r="L14" s="5"/>
      <c r="M14" s="5"/>
      <c r="N14" s="5"/>
      <c r="O14" s="4"/>
    </row>
    <row r="15" spans="2:25" s="10" customFormat="1" ht="11.25">
      <c r="B15" s="8" t="s">
        <v>15</v>
      </c>
      <c r="C15" s="9"/>
      <c r="D15" s="9"/>
      <c r="E15" s="9"/>
      <c r="F15" s="9"/>
      <c r="G15" s="29"/>
      <c r="H15" s="9"/>
      <c r="I15" s="9"/>
      <c r="J15" s="9"/>
      <c r="K15" s="9"/>
      <c r="L15" s="9"/>
      <c r="M15" s="9"/>
      <c r="N15" s="9"/>
      <c r="O15" s="8"/>
      <c r="Y15" s="11"/>
    </row>
    <row r="16" spans="2:25" s="10" customFormat="1" ht="11.25">
      <c r="B16" s="9" t="s">
        <v>13</v>
      </c>
      <c r="C16" s="9">
        <v>7150.18</v>
      </c>
      <c r="D16" s="9">
        <v>7150.18</v>
      </c>
      <c r="E16" s="9">
        <v>7150.18</v>
      </c>
      <c r="F16" s="9">
        <v>7150.18</v>
      </c>
      <c r="G16" s="9">
        <v>7150.18</v>
      </c>
      <c r="H16" s="9">
        <v>7150.18</v>
      </c>
      <c r="I16" s="9">
        <v>7150.18</v>
      </c>
      <c r="J16" s="9">
        <v>7150.18</v>
      </c>
      <c r="K16" s="9">
        <v>7150.18</v>
      </c>
      <c r="L16" s="9">
        <v>7150.18</v>
      </c>
      <c r="M16" s="9"/>
      <c r="N16" s="9"/>
      <c r="O16" s="9">
        <f>C16+D16+E16+F16+G16+H16+I16+J16+K16+L16+M16+N16</f>
        <v>71501.8</v>
      </c>
      <c r="Y16" s="11"/>
    </row>
    <row r="17" spans="2:25" s="10" customFormat="1" ht="11.25">
      <c r="B17" s="16"/>
      <c r="C17" s="9"/>
      <c r="D17" s="9"/>
      <c r="E17" s="9"/>
      <c r="F17" s="9"/>
      <c r="G17" s="29"/>
      <c r="H17" s="9"/>
      <c r="I17" s="9"/>
      <c r="J17" s="9"/>
      <c r="K17" s="9"/>
      <c r="L17" s="9"/>
      <c r="M17" s="9"/>
      <c r="N17" s="9"/>
      <c r="O17" s="9"/>
      <c r="Y17" s="11"/>
    </row>
    <row r="18" spans="2:15" s="11" customFormat="1" ht="11.25">
      <c r="B18" s="8" t="s">
        <v>14</v>
      </c>
      <c r="C18" s="8">
        <f aca="true" t="shared" si="1" ref="C18:N18">SUM(C14:C16)</f>
        <v>7150.18</v>
      </c>
      <c r="D18" s="8">
        <f t="shared" si="1"/>
        <v>7150.18</v>
      </c>
      <c r="E18" s="8">
        <f t="shared" si="1"/>
        <v>7150.18</v>
      </c>
      <c r="F18" s="8">
        <f t="shared" si="1"/>
        <v>7150.18</v>
      </c>
      <c r="G18" s="30">
        <f t="shared" si="1"/>
        <v>7150.18</v>
      </c>
      <c r="H18" s="8">
        <f t="shared" si="1"/>
        <v>7150.18</v>
      </c>
      <c r="I18" s="8">
        <f t="shared" si="1"/>
        <v>7150.18</v>
      </c>
      <c r="J18" s="8">
        <f t="shared" si="1"/>
        <v>7150.18</v>
      </c>
      <c r="K18" s="8">
        <f t="shared" si="1"/>
        <v>7150.18</v>
      </c>
      <c r="L18" s="8">
        <f t="shared" si="1"/>
        <v>7150.18</v>
      </c>
      <c r="M18" s="8">
        <f t="shared" si="1"/>
        <v>0</v>
      </c>
      <c r="N18" s="8">
        <f t="shared" si="1"/>
        <v>0</v>
      </c>
      <c r="O18" s="8">
        <f>C18+D18+E18+F18+G18+H18+I18+J18+K18+L18+M18+N18</f>
        <v>71501.8</v>
      </c>
    </row>
    <row r="19" spans="2:15" ht="11.25">
      <c r="B19" s="5"/>
      <c r="C19" s="5"/>
      <c r="D19" s="5"/>
      <c r="E19" s="5"/>
      <c r="F19" s="5"/>
      <c r="G19" s="27"/>
      <c r="H19" s="5"/>
      <c r="I19" s="5"/>
      <c r="J19" s="5"/>
      <c r="K19" s="5"/>
      <c r="L19" s="5"/>
      <c r="M19" s="5"/>
      <c r="N19" s="5"/>
      <c r="O19" s="4"/>
    </row>
    <row r="20" spans="2:25" s="25" customFormat="1" ht="11.25">
      <c r="B20" s="23" t="s">
        <v>16</v>
      </c>
      <c r="C20" s="24"/>
      <c r="D20" s="24"/>
      <c r="E20" s="24"/>
      <c r="F20" s="24"/>
      <c r="G20" s="31"/>
      <c r="H20" s="24"/>
      <c r="I20" s="24"/>
      <c r="J20" s="24"/>
      <c r="K20" s="24"/>
      <c r="L20" s="24"/>
      <c r="M20" s="24"/>
      <c r="N20" s="24"/>
      <c r="O20" s="23"/>
      <c r="Y20" s="26"/>
    </row>
    <row r="21" spans="2:25" s="25" customFormat="1" ht="11.25">
      <c r="B21" s="24" t="s">
        <v>13</v>
      </c>
      <c r="C21" s="24">
        <v>6742.69</v>
      </c>
      <c r="D21" s="24">
        <v>5271.67</v>
      </c>
      <c r="E21" s="24">
        <v>8663.33</v>
      </c>
      <c r="F21" s="24">
        <v>6777.14</v>
      </c>
      <c r="G21" s="31">
        <v>14304.31</v>
      </c>
      <c r="H21" s="24">
        <v>4750.19</v>
      </c>
      <c r="I21" s="24">
        <v>7088</v>
      </c>
      <c r="J21" s="24">
        <f>6094.84+2013.28</f>
        <v>8108.12</v>
      </c>
      <c r="K21" s="24">
        <v>5405.36</v>
      </c>
      <c r="L21" s="24">
        <v>9272.04</v>
      </c>
      <c r="M21" s="24"/>
      <c r="N21" s="24"/>
      <c r="O21" s="24">
        <f>C21+D21+E21+F21+G21+H21+I21+J21+K21+L21+M21+N21</f>
        <v>76382.85</v>
      </c>
      <c r="Y21" s="26"/>
    </row>
    <row r="22" spans="2:25" s="25" customFormat="1" ht="11.25">
      <c r="B22" s="16"/>
      <c r="C22" s="24"/>
      <c r="D22" s="24"/>
      <c r="E22" s="24"/>
      <c r="F22" s="24"/>
      <c r="G22" s="31"/>
      <c r="H22" s="24"/>
      <c r="I22" s="24"/>
      <c r="J22" s="24"/>
      <c r="K22" s="24"/>
      <c r="L22" s="24"/>
      <c r="M22" s="24"/>
      <c r="N22" s="24"/>
      <c r="O22" s="24"/>
      <c r="Y22" s="26"/>
    </row>
    <row r="23" spans="2:15" s="26" customFormat="1" ht="11.25">
      <c r="B23" s="23" t="s">
        <v>14</v>
      </c>
      <c r="C23" s="23">
        <f aca="true" t="shared" si="2" ref="C23:O23">SUM(C21:C22)</f>
        <v>6742.69</v>
      </c>
      <c r="D23" s="23">
        <f t="shared" si="2"/>
        <v>5271.67</v>
      </c>
      <c r="E23" s="23">
        <f t="shared" si="2"/>
        <v>8663.33</v>
      </c>
      <c r="F23" s="23">
        <f t="shared" si="2"/>
        <v>6777.14</v>
      </c>
      <c r="G23" s="32">
        <f t="shared" si="2"/>
        <v>14304.31</v>
      </c>
      <c r="H23" s="23">
        <f t="shared" si="2"/>
        <v>4750.19</v>
      </c>
      <c r="I23" s="23">
        <f t="shared" si="2"/>
        <v>7088</v>
      </c>
      <c r="J23" s="23">
        <f t="shared" si="2"/>
        <v>8108.12</v>
      </c>
      <c r="K23" s="23">
        <f t="shared" si="2"/>
        <v>5405.36</v>
      </c>
      <c r="L23" s="23">
        <f t="shared" si="2"/>
        <v>9272.04</v>
      </c>
      <c r="M23" s="23">
        <f t="shared" si="2"/>
        <v>0</v>
      </c>
      <c r="N23" s="23">
        <f t="shared" si="2"/>
        <v>0</v>
      </c>
      <c r="O23" s="23">
        <f t="shared" si="2"/>
        <v>76382.85</v>
      </c>
    </row>
    <row r="24" spans="2:15" ht="11.25">
      <c r="B24" s="5"/>
      <c r="C24" s="5"/>
      <c r="D24" s="5"/>
      <c r="E24" s="5"/>
      <c r="F24" s="5"/>
      <c r="G24" s="27"/>
      <c r="H24" s="5"/>
      <c r="I24" s="5"/>
      <c r="J24" s="5"/>
      <c r="K24" s="5"/>
      <c r="L24" s="5"/>
      <c r="M24" s="5"/>
      <c r="N24" s="5"/>
      <c r="O24" s="4"/>
    </row>
    <row r="25" spans="2:15" ht="11.25">
      <c r="B25" s="4" t="s">
        <v>17</v>
      </c>
      <c r="C25" s="12">
        <f aca="true" t="shared" si="3" ref="C25:O25">C23/C18</f>
        <v>0.9430098263260505</v>
      </c>
      <c r="D25" s="12">
        <f t="shared" si="3"/>
        <v>0.7372779426531919</v>
      </c>
      <c r="E25" s="12">
        <f t="shared" si="3"/>
        <v>1.2116240430310845</v>
      </c>
      <c r="F25" s="12">
        <f t="shared" si="3"/>
        <v>0.947827886850401</v>
      </c>
      <c r="G25" s="33">
        <f t="shared" si="3"/>
        <v>2.000552433645027</v>
      </c>
      <c r="H25" s="12">
        <f t="shared" si="3"/>
        <v>0.6643455129800927</v>
      </c>
      <c r="I25" s="12">
        <f t="shared" si="3"/>
        <v>0.9913037154309402</v>
      </c>
      <c r="J25" s="12">
        <f t="shared" si="3"/>
        <v>1.1339742495993108</v>
      </c>
      <c r="K25" s="12">
        <f t="shared" si="3"/>
        <v>0.7559753740465274</v>
      </c>
      <c r="L25" s="12">
        <f t="shared" si="3"/>
        <v>1.2967561655790485</v>
      </c>
      <c r="M25" s="12" t="e">
        <f t="shared" si="3"/>
        <v>#DIV/0!</v>
      </c>
      <c r="N25" s="12" t="e">
        <f t="shared" si="3"/>
        <v>#DIV/0!</v>
      </c>
      <c r="O25" s="13">
        <f t="shared" si="3"/>
        <v>1.0682647150141675</v>
      </c>
    </row>
    <row r="26" spans="2:15" ht="11.25">
      <c r="B26" s="4"/>
      <c r="C26" s="12"/>
      <c r="D26" s="12"/>
      <c r="E26" s="12"/>
      <c r="F26" s="12"/>
      <c r="G26" s="33"/>
      <c r="H26" s="12"/>
      <c r="I26" s="12"/>
      <c r="J26" s="12"/>
      <c r="K26" s="12"/>
      <c r="L26" s="12"/>
      <c r="M26" s="12"/>
      <c r="N26" s="12"/>
      <c r="O26" s="14"/>
    </row>
    <row r="27" spans="2:15" ht="11.25">
      <c r="B27" s="4" t="s">
        <v>18</v>
      </c>
      <c r="C27" s="7">
        <f aca="true" t="shared" si="4" ref="C27:O27">C18-C23</f>
        <v>407.4900000000007</v>
      </c>
      <c r="D27" s="7">
        <f t="shared" si="4"/>
        <v>1878.5100000000002</v>
      </c>
      <c r="E27" s="7">
        <f t="shared" si="4"/>
        <v>-1513.1499999999996</v>
      </c>
      <c r="F27" s="7">
        <f t="shared" si="4"/>
        <v>373.03999999999996</v>
      </c>
      <c r="G27" s="34">
        <f t="shared" si="4"/>
        <v>-7154.129999999999</v>
      </c>
      <c r="H27" s="7">
        <f t="shared" si="4"/>
        <v>2399.9900000000007</v>
      </c>
      <c r="I27" s="7">
        <f t="shared" si="4"/>
        <v>62.18000000000029</v>
      </c>
      <c r="J27" s="7">
        <f t="shared" si="4"/>
        <v>-957.9399999999996</v>
      </c>
      <c r="K27" s="7">
        <f t="shared" si="4"/>
        <v>1744.8200000000006</v>
      </c>
      <c r="L27" s="7">
        <f t="shared" si="4"/>
        <v>-2121.8600000000006</v>
      </c>
      <c r="M27" s="7">
        <f t="shared" si="4"/>
        <v>0</v>
      </c>
      <c r="N27" s="7">
        <f t="shared" si="4"/>
        <v>0</v>
      </c>
      <c r="O27" s="7">
        <f t="shared" si="4"/>
        <v>-4881.050000000003</v>
      </c>
    </row>
    <row r="28" spans="2:15" ht="11.25">
      <c r="B28" s="5"/>
      <c r="C28" s="5"/>
      <c r="D28" s="5"/>
      <c r="E28" s="5"/>
      <c r="F28" s="5"/>
      <c r="G28" s="27"/>
      <c r="H28" s="5"/>
      <c r="I28" s="5"/>
      <c r="J28" s="5"/>
      <c r="K28" s="5"/>
      <c r="L28" s="5"/>
      <c r="M28" s="5"/>
      <c r="N28" s="5"/>
      <c r="O28" s="4"/>
    </row>
    <row r="29" spans="2:25" s="17" customFormat="1" ht="11.25">
      <c r="B29" s="15" t="s">
        <v>19</v>
      </c>
      <c r="C29" s="16"/>
      <c r="D29" s="16"/>
      <c r="E29" s="16"/>
      <c r="F29" s="16"/>
      <c r="G29" s="35"/>
      <c r="H29" s="16"/>
      <c r="I29" s="16"/>
      <c r="J29" s="16"/>
      <c r="K29" s="16"/>
      <c r="L29" s="16"/>
      <c r="M29" s="16"/>
      <c r="N29" s="16"/>
      <c r="O29" s="15"/>
      <c r="Y29" s="18"/>
    </row>
    <row r="30" spans="2:25" s="17" customFormat="1" ht="11.25">
      <c r="B30" s="16"/>
      <c r="C30" s="16"/>
      <c r="D30" s="16"/>
      <c r="E30" s="16"/>
      <c r="F30" s="16"/>
      <c r="G30" s="35"/>
      <c r="H30" s="16"/>
      <c r="I30" s="16"/>
      <c r="J30" s="16"/>
      <c r="K30" s="16"/>
      <c r="L30" s="16"/>
      <c r="M30" s="16"/>
      <c r="N30" s="16"/>
      <c r="O30" s="15"/>
      <c r="Y30" s="18"/>
    </row>
    <row r="31" spans="2:25" s="17" customFormat="1" ht="11.25">
      <c r="B31" s="16" t="s">
        <v>20</v>
      </c>
      <c r="C31" s="16">
        <v>111.1</v>
      </c>
      <c r="D31" s="16">
        <v>288.69</v>
      </c>
      <c r="E31" s="16">
        <v>397.4</v>
      </c>
      <c r="F31" s="16">
        <v>402.62</v>
      </c>
      <c r="G31" s="35">
        <v>653.08</v>
      </c>
      <c r="H31" s="16">
        <v>715.11</v>
      </c>
      <c r="I31" s="16">
        <v>437.11</v>
      </c>
      <c r="J31" s="16">
        <v>301.54</v>
      </c>
      <c r="K31" s="16">
        <v>336.54</v>
      </c>
      <c r="L31" s="16">
        <v>818.3</v>
      </c>
      <c r="M31" s="16"/>
      <c r="N31" s="16"/>
      <c r="O31" s="16">
        <f>C31+D31+E31+F31+G31+H31+I31+J31+K31+L31+M31+N31</f>
        <v>4461.49</v>
      </c>
      <c r="Y31" s="18"/>
    </row>
    <row r="32" spans="2:25" s="17" customFormat="1" ht="11.25">
      <c r="B32" s="16" t="s">
        <v>32</v>
      </c>
      <c r="C32" s="16">
        <f>2749.25+67.22</f>
        <v>2816.47</v>
      </c>
      <c r="D32" s="16">
        <f>2682.03+183.24</f>
        <v>2865.2700000000004</v>
      </c>
      <c r="E32" s="16">
        <v>2749.25</v>
      </c>
      <c r="F32" s="16">
        <v>2749.25</v>
      </c>
      <c r="G32" s="35">
        <v>2749.25</v>
      </c>
      <c r="H32" s="16">
        <v>2749.25</v>
      </c>
      <c r="I32" s="16">
        <v>2749.25</v>
      </c>
      <c r="J32" s="16">
        <v>2749.25</v>
      </c>
      <c r="K32" s="16">
        <v>2749.25</v>
      </c>
      <c r="L32" s="16">
        <v>2749.25</v>
      </c>
      <c r="M32" s="16"/>
      <c r="N32" s="16"/>
      <c r="O32" s="16">
        <f aca="true" t="shared" si="5" ref="O32:O53">C32+D32+E32+F32+G32+H32+I32+J32+K32+L32+M32+N32</f>
        <v>27675.739999999998</v>
      </c>
      <c r="Y32" s="18"/>
    </row>
    <row r="33" spans="2:25" s="17" customFormat="1" ht="11.25">
      <c r="B33" s="16" t="s">
        <v>26</v>
      </c>
      <c r="C33" s="16">
        <f>526.99+225.9</f>
        <v>752.89</v>
      </c>
      <c r="D33" s="16">
        <f>809.9+273.46</f>
        <v>1083.36</v>
      </c>
      <c r="E33" s="16">
        <f>809.9+273.45</f>
        <v>1083.35</v>
      </c>
      <c r="F33" s="16">
        <f>354.54+403.29+273.46</f>
        <v>1031.29</v>
      </c>
      <c r="G33" s="35">
        <f>406.61+809.9</f>
        <v>1216.51</v>
      </c>
      <c r="H33" s="16">
        <f>809.9+273.46</f>
        <v>1083.36</v>
      </c>
      <c r="I33" s="16">
        <f>809.9+273.46</f>
        <v>1083.36</v>
      </c>
      <c r="J33" s="16">
        <f>809.9+273.46</f>
        <v>1083.36</v>
      </c>
      <c r="K33" s="16">
        <f>809.9+273.46</f>
        <v>1083.36</v>
      </c>
      <c r="L33" s="16">
        <f>809.9+273.46</f>
        <v>1083.36</v>
      </c>
      <c r="M33" s="16"/>
      <c r="N33" s="16"/>
      <c r="O33" s="16">
        <f t="shared" si="5"/>
        <v>10584.2</v>
      </c>
      <c r="Y33" s="18"/>
    </row>
    <row r="34" spans="2:25" s="17" customFormat="1" ht="11.25">
      <c r="B34" s="16" t="s">
        <v>27</v>
      </c>
      <c r="C34" s="16">
        <f>202.04+1295.57</f>
        <v>1497.61</v>
      </c>
      <c r="D34" s="16">
        <f>134.43+1295.57</f>
        <v>1430</v>
      </c>
      <c r="E34" s="16">
        <v>1295.57</v>
      </c>
      <c r="F34" s="16">
        <v>403.29</v>
      </c>
      <c r="G34" s="35">
        <f>892.28+672.16+273.46</f>
        <v>1837.9</v>
      </c>
      <c r="H34" s="16">
        <f>623.42+672.16</f>
        <v>1295.58</v>
      </c>
      <c r="I34" s="16">
        <f>623.42+672.16</f>
        <v>1295.58</v>
      </c>
      <c r="J34" s="16">
        <f>1441.45+32.63</f>
        <v>1474.0800000000002</v>
      </c>
      <c r="K34" s="16">
        <f>1441.45+32.63</f>
        <v>1474.0800000000002</v>
      </c>
      <c r="L34" s="16">
        <f>1441.45+32.63+623.42</f>
        <v>2097.5</v>
      </c>
      <c r="M34" s="16"/>
      <c r="N34" s="16"/>
      <c r="O34" s="16">
        <f t="shared" si="5"/>
        <v>14101.189999999999</v>
      </c>
      <c r="Y34" s="18"/>
    </row>
    <row r="35" spans="2:25" s="17" customFormat="1" ht="11.25">
      <c r="B35" s="16" t="s">
        <v>23</v>
      </c>
      <c r="C35" s="16"/>
      <c r="D35" s="16"/>
      <c r="E35" s="16"/>
      <c r="F35" s="16"/>
      <c r="G35" s="35"/>
      <c r="H35" s="16"/>
      <c r="I35" s="16"/>
      <c r="J35" s="16"/>
      <c r="K35" s="16"/>
      <c r="L35" s="16"/>
      <c r="M35" s="16"/>
      <c r="N35" s="16"/>
      <c r="O35" s="16">
        <f t="shared" si="5"/>
        <v>0</v>
      </c>
      <c r="Y35" s="18"/>
    </row>
    <row r="36" spans="2:25" s="17" customFormat="1" ht="11.25">
      <c r="B36" s="19" t="s">
        <v>28</v>
      </c>
      <c r="C36" s="16">
        <v>7.79</v>
      </c>
      <c r="D36" s="16">
        <v>7.79</v>
      </c>
      <c r="E36" s="16">
        <v>7.79</v>
      </c>
      <c r="F36" s="16">
        <v>7.79</v>
      </c>
      <c r="G36" s="35"/>
      <c r="H36" s="16"/>
      <c r="I36" s="16">
        <v>7.79</v>
      </c>
      <c r="J36" s="16">
        <v>7.79</v>
      </c>
      <c r="K36" s="16">
        <v>7.79</v>
      </c>
      <c r="L36" s="16">
        <v>7.79</v>
      </c>
      <c r="M36" s="16"/>
      <c r="N36" s="16"/>
      <c r="O36" s="16">
        <f t="shared" si="5"/>
        <v>62.32</v>
      </c>
      <c r="Y36" s="18"/>
    </row>
    <row r="37" spans="2:25" s="17" customFormat="1" ht="11.25">
      <c r="B37" s="16" t="s">
        <v>29</v>
      </c>
      <c r="C37" s="16"/>
      <c r="D37" s="16"/>
      <c r="E37" s="16"/>
      <c r="F37" s="16"/>
      <c r="G37" s="35"/>
      <c r="H37" s="16"/>
      <c r="I37" s="16"/>
      <c r="J37" s="16"/>
      <c r="K37" s="16"/>
      <c r="L37" s="16"/>
      <c r="M37" s="16"/>
      <c r="N37" s="16"/>
      <c r="O37" s="16">
        <f t="shared" si="5"/>
        <v>0</v>
      </c>
      <c r="Y37" s="18"/>
    </row>
    <row r="38" spans="2:25" s="17" customFormat="1" ht="11.25">
      <c r="B38" s="16" t="s">
        <v>25</v>
      </c>
      <c r="C38" s="16"/>
      <c r="D38" s="16"/>
      <c r="E38" s="16"/>
      <c r="F38" s="16"/>
      <c r="G38" s="35"/>
      <c r="H38" s="16"/>
      <c r="I38" s="16"/>
      <c r="J38" s="16"/>
      <c r="K38" s="16"/>
      <c r="L38" s="16"/>
      <c r="M38" s="16"/>
      <c r="N38" s="16"/>
      <c r="O38" s="16">
        <f t="shared" si="5"/>
        <v>0</v>
      </c>
      <c r="Y38" s="18"/>
    </row>
    <row r="39" spans="2:25" s="17" customFormat="1" ht="11.25">
      <c r="B39" s="16" t="s">
        <v>31</v>
      </c>
      <c r="C39" s="16">
        <f>425.62+53.9</f>
        <v>479.52</v>
      </c>
      <c r="D39" s="16">
        <f>296.28+183.24</f>
        <v>479.52</v>
      </c>
      <c r="E39" s="16"/>
      <c r="F39" s="16">
        <f>337.16+142.36</f>
        <v>479.52000000000004</v>
      </c>
      <c r="G39" s="35">
        <f>337.64+141.88</f>
        <v>479.52</v>
      </c>
      <c r="H39" s="16"/>
      <c r="I39" s="16">
        <f>330.93+318.78+148.59+160.74</f>
        <v>959.0400000000001</v>
      </c>
      <c r="J39" s="16">
        <f>354.05+125.47</f>
        <v>479.52</v>
      </c>
      <c r="K39" s="16">
        <f>370.58+108.94</f>
        <v>479.52</v>
      </c>
      <c r="L39" s="16">
        <f>342.76+136.76</f>
        <v>479.52</v>
      </c>
      <c r="M39" s="16"/>
      <c r="N39" s="16"/>
      <c r="O39" s="16">
        <f t="shared" si="5"/>
        <v>4315.68</v>
      </c>
      <c r="Y39" s="18"/>
    </row>
    <row r="40" spans="2:25" s="17" customFormat="1" ht="11.25">
      <c r="B40" s="16" t="s">
        <v>30</v>
      </c>
      <c r="C40" s="16">
        <v>124.32</v>
      </c>
      <c r="D40" s="16">
        <v>124.32</v>
      </c>
      <c r="E40" s="16">
        <v>124.32</v>
      </c>
      <c r="F40" s="16">
        <v>124.32</v>
      </c>
      <c r="G40" s="35">
        <v>124.32</v>
      </c>
      <c r="H40" s="16">
        <v>124.32</v>
      </c>
      <c r="I40" s="16">
        <v>124.32</v>
      </c>
      <c r="J40" s="16">
        <v>124.32</v>
      </c>
      <c r="K40" s="16">
        <v>124.32</v>
      </c>
      <c r="L40" s="16">
        <v>124.32</v>
      </c>
      <c r="M40" s="16"/>
      <c r="N40" s="16"/>
      <c r="O40" s="16">
        <f t="shared" si="5"/>
        <v>1243.1999999999996</v>
      </c>
      <c r="Y40" s="18"/>
    </row>
    <row r="41" spans="2:25" s="17" customFormat="1" ht="11.25">
      <c r="B41" s="16" t="s">
        <v>24</v>
      </c>
      <c r="C41" s="16">
        <v>102.36</v>
      </c>
      <c r="D41" s="16">
        <v>352.48</v>
      </c>
      <c r="E41" s="16">
        <v>117.65</v>
      </c>
      <c r="F41" s="16">
        <v>401.97</v>
      </c>
      <c r="G41" s="35"/>
      <c r="H41" s="16">
        <v>201.65</v>
      </c>
      <c r="I41" s="16">
        <v>466.28</v>
      </c>
      <c r="J41" s="16">
        <v>374.82</v>
      </c>
      <c r="K41" s="16">
        <v>202.82</v>
      </c>
      <c r="L41" s="16">
        <v>479.09</v>
      </c>
      <c r="M41" s="16"/>
      <c r="N41" s="16"/>
      <c r="O41" s="16">
        <f t="shared" si="5"/>
        <v>2699.1200000000003</v>
      </c>
      <c r="Y41" s="18"/>
    </row>
    <row r="42" spans="2:25" s="17" customFormat="1" ht="11.25">
      <c r="B42" s="16" t="s">
        <v>34</v>
      </c>
      <c r="C42" s="16"/>
      <c r="D42" s="16"/>
      <c r="E42" s="16"/>
      <c r="F42" s="16"/>
      <c r="G42" s="35"/>
      <c r="H42" s="16"/>
      <c r="I42" s="16"/>
      <c r="J42" s="16"/>
      <c r="K42" s="16"/>
      <c r="L42" s="16"/>
      <c r="M42" s="16"/>
      <c r="N42" s="16"/>
      <c r="O42" s="16">
        <f t="shared" si="5"/>
        <v>0</v>
      </c>
      <c r="Y42" s="18"/>
    </row>
    <row r="43" spans="2:25" s="17" customFormat="1" ht="11.25">
      <c r="B43" s="16" t="s">
        <v>35</v>
      </c>
      <c r="C43" s="16"/>
      <c r="D43" s="16"/>
      <c r="E43" s="16"/>
      <c r="F43" s="16"/>
      <c r="G43" s="35"/>
      <c r="H43" s="16">
        <f>154.48+101.68</f>
        <v>256.15999999999997</v>
      </c>
      <c r="I43" s="16">
        <v>154.48</v>
      </c>
      <c r="J43" s="16">
        <f>154.48+17.36+16.43</f>
        <v>188.26999999999998</v>
      </c>
      <c r="K43" s="16"/>
      <c r="L43" s="16"/>
      <c r="M43" s="16"/>
      <c r="N43" s="16"/>
      <c r="O43" s="16">
        <f t="shared" si="5"/>
        <v>598.91</v>
      </c>
      <c r="Y43" s="18"/>
    </row>
    <row r="44" spans="2:25" s="17" customFormat="1" ht="11.25">
      <c r="B44" s="16" t="s">
        <v>36</v>
      </c>
      <c r="C44" s="16"/>
      <c r="D44" s="16"/>
      <c r="E44" s="16">
        <v>2688.62</v>
      </c>
      <c r="F44" s="16"/>
      <c r="G44" s="35"/>
      <c r="H44" s="16">
        <v>23.88</v>
      </c>
      <c r="I44" s="16"/>
      <c r="J44" s="16"/>
      <c r="K44" s="16"/>
      <c r="L44" s="16"/>
      <c r="M44" s="16"/>
      <c r="N44" s="16"/>
      <c r="O44" s="16">
        <f t="shared" si="5"/>
        <v>2712.5</v>
      </c>
      <c r="Y44" s="18"/>
    </row>
    <row r="45" spans="2:25" s="17" customFormat="1" ht="11.25">
      <c r="B45" s="16"/>
      <c r="C45" s="16"/>
      <c r="D45" s="16"/>
      <c r="E45" s="16"/>
      <c r="F45" s="16"/>
      <c r="G45" s="35"/>
      <c r="H45" s="16"/>
      <c r="I45" s="16"/>
      <c r="J45" s="16"/>
      <c r="K45" s="16"/>
      <c r="L45" s="16"/>
      <c r="M45" s="16"/>
      <c r="N45" s="16"/>
      <c r="O45" s="16"/>
      <c r="Y45" s="18"/>
    </row>
    <row r="46" spans="2:25" s="17" customFormat="1" ht="11.25">
      <c r="B46" s="41" t="s">
        <v>107</v>
      </c>
      <c r="C46" s="16"/>
      <c r="D46" s="16"/>
      <c r="E46" s="16"/>
      <c r="F46" s="16"/>
      <c r="G46" s="35"/>
      <c r="H46" s="16"/>
      <c r="I46" s="16"/>
      <c r="J46" s="16"/>
      <c r="K46" s="16"/>
      <c r="L46" s="16"/>
      <c r="M46" s="16"/>
      <c r="N46" s="16"/>
      <c r="O46" s="16">
        <v>1967.84</v>
      </c>
      <c r="Y46" s="18"/>
    </row>
    <row r="47" spans="2:25" s="17" customFormat="1" ht="11.25">
      <c r="B47" s="16" t="s">
        <v>55</v>
      </c>
      <c r="C47" s="16"/>
      <c r="D47" s="16"/>
      <c r="E47" s="16"/>
      <c r="F47" s="16">
        <v>1250</v>
      </c>
      <c r="G47" s="35"/>
      <c r="H47" s="16"/>
      <c r="I47" s="16"/>
      <c r="J47" s="16"/>
      <c r="K47" s="16"/>
      <c r="L47" s="16"/>
      <c r="M47" s="16"/>
      <c r="N47" s="16"/>
      <c r="O47" s="16">
        <f t="shared" si="5"/>
        <v>1250</v>
      </c>
      <c r="Y47" s="18"/>
    </row>
    <row r="48" spans="2:25" s="17" customFormat="1" ht="11.25">
      <c r="B48" s="16" t="s">
        <v>72</v>
      </c>
      <c r="C48" s="16"/>
      <c r="D48" s="16"/>
      <c r="E48" s="16"/>
      <c r="F48" s="16"/>
      <c r="G48" s="35"/>
      <c r="H48" s="16"/>
      <c r="I48" s="16"/>
      <c r="J48" s="16">
        <f>12000+10650</f>
        <v>22650</v>
      </c>
      <c r="K48" s="16"/>
      <c r="L48" s="16"/>
      <c r="M48" s="16"/>
      <c r="N48" s="16"/>
      <c r="O48" s="16">
        <f t="shared" si="5"/>
        <v>22650</v>
      </c>
      <c r="Y48" s="18"/>
    </row>
    <row r="49" spans="2:25" s="17" customFormat="1" ht="11.25">
      <c r="B49" s="16" t="s">
        <v>70</v>
      </c>
      <c r="C49" s="16"/>
      <c r="D49" s="16"/>
      <c r="E49" s="16"/>
      <c r="F49" s="16"/>
      <c r="G49" s="35"/>
      <c r="H49" s="16"/>
      <c r="I49" s="16"/>
      <c r="J49" s="16">
        <v>309.19</v>
      </c>
      <c r="K49" s="16"/>
      <c r="L49" s="16"/>
      <c r="M49" s="16"/>
      <c r="N49" s="16"/>
      <c r="O49" s="16">
        <f t="shared" si="5"/>
        <v>309.19</v>
      </c>
      <c r="Y49" s="18"/>
    </row>
    <row r="50" spans="2:25" s="17" customFormat="1" ht="11.25">
      <c r="B50" s="16" t="s">
        <v>96</v>
      </c>
      <c r="C50" s="16"/>
      <c r="D50" s="16"/>
      <c r="E50" s="16"/>
      <c r="F50" s="16"/>
      <c r="G50" s="35"/>
      <c r="H50" s="16"/>
      <c r="I50" s="16"/>
      <c r="J50" s="16"/>
      <c r="K50" s="16"/>
      <c r="L50" s="16">
        <v>6200</v>
      </c>
      <c r="M50" s="16"/>
      <c r="N50" s="16"/>
      <c r="O50" s="16">
        <f t="shared" si="5"/>
        <v>6200</v>
      </c>
      <c r="Y50" s="18"/>
    </row>
    <row r="51" spans="2:25" s="17" customFormat="1" ht="11.25">
      <c r="B51" s="16"/>
      <c r="C51" s="16"/>
      <c r="D51" s="16"/>
      <c r="E51" s="16"/>
      <c r="F51" s="16"/>
      <c r="G51" s="35"/>
      <c r="H51" s="16"/>
      <c r="I51" s="16"/>
      <c r="J51" s="16"/>
      <c r="K51" s="16"/>
      <c r="L51" s="16"/>
      <c r="M51" s="16"/>
      <c r="N51" s="16"/>
      <c r="O51" s="16">
        <f t="shared" si="5"/>
        <v>0</v>
      </c>
      <c r="Y51" s="18"/>
    </row>
    <row r="52" spans="2:25" s="17" customFormat="1" ht="11.25">
      <c r="B52" s="16"/>
      <c r="C52" s="16"/>
      <c r="D52" s="16"/>
      <c r="E52" s="16"/>
      <c r="F52" s="16"/>
      <c r="G52" s="35"/>
      <c r="H52" s="16"/>
      <c r="I52" s="16"/>
      <c r="J52" s="16"/>
      <c r="K52" s="16"/>
      <c r="L52" s="16"/>
      <c r="M52" s="16"/>
      <c r="N52" s="16"/>
      <c r="O52" s="16">
        <f t="shared" si="5"/>
        <v>0</v>
      </c>
      <c r="Y52" s="18"/>
    </row>
    <row r="53" spans="2:25" s="17" customFormat="1" ht="11.25">
      <c r="B53" s="16"/>
      <c r="C53" s="16"/>
      <c r="D53" s="16"/>
      <c r="E53" s="16"/>
      <c r="F53" s="16"/>
      <c r="G53" s="35"/>
      <c r="H53" s="16"/>
      <c r="I53" s="16"/>
      <c r="J53" s="16"/>
      <c r="K53" s="16"/>
      <c r="L53" s="16"/>
      <c r="M53" s="16"/>
      <c r="N53" s="16"/>
      <c r="O53" s="16">
        <f t="shared" si="5"/>
        <v>0</v>
      </c>
      <c r="Y53" s="18"/>
    </row>
    <row r="54" spans="2:25" s="17" customFormat="1" ht="11.25">
      <c r="B54" s="15" t="s">
        <v>14</v>
      </c>
      <c r="C54" s="15">
        <f aca="true" t="shared" si="6" ref="C54:O54">SUM(C31:C53)</f>
        <v>5892.059999999999</v>
      </c>
      <c r="D54" s="15">
        <f t="shared" si="6"/>
        <v>6631.43</v>
      </c>
      <c r="E54" s="15">
        <f t="shared" si="6"/>
        <v>8463.949999999999</v>
      </c>
      <c r="F54" s="15">
        <f t="shared" si="6"/>
        <v>6850.05</v>
      </c>
      <c r="G54" s="36">
        <f t="shared" si="6"/>
        <v>7060.58</v>
      </c>
      <c r="H54" s="15">
        <f t="shared" si="6"/>
        <v>6449.3099999999995</v>
      </c>
      <c r="I54" s="15">
        <f t="shared" si="6"/>
        <v>7277.209999999999</v>
      </c>
      <c r="J54" s="15">
        <f t="shared" si="6"/>
        <v>29742.139999999996</v>
      </c>
      <c r="K54" s="15">
        <f t="shared" si="6"/>
        <v>6457.6799999999985</v>
      </c>
      <c r="L54" s="15">
        <f t="shared" si="6"/>
        <v>14039.13</v>
      </c>
      <c r="M54" s="15">
        <f t="shared" si="6"/>
        <v>0</v>
      </c>
      <c r="N54" s="15">
        <f t="shared" si="6"/>
        <v>0</v>
      </c>
      <c r="O54" s="15">
        <f t="shared" si="6"/>
        <v>100831.37999999999</v>
      </c>
      <c r="Y54" s="18"/>
    </row>
    <row r="55" ht="11.25">
      <c r="G55" s="37"/>
    </row>
    <row r="56" spans="2:15" ht="11.25">
      <c r="B56" s="20" t="s">
        <v>109</v>
      </c>
      <c r="C56" s="21">
        <f aca="true" t="shared" si="7" ref="C56:O56">C12+C23-C54</f>
        <v>33769.97</v>
      </c>
      <c r="D56" s="21">
        <f t="shared" si="7"/>
        <v>32410.21</v>
      </c>
      <c r="E56" s="21">
        <f t="shared" si="7"/>
        <v>32609.590000000004</v>
      </c>
      <c r="F56" s="21">
        <f t="shared" si="7"/>
        <v>32536.680000000004</v>
      </c>
      <c r="G56" s="38">
        <f t="shared" si="7"/>
        <v>39780.41</v>
      </c>
      <c r="H56" s="21">
        <f t="shared" si="7"/>
        <v>38081.29000000001</v>
      </c>
      <c r="I56" s="21">
        <f t="shared" si="7"/>
        <v>37892.08000000001</v>
      </c>
      <c r="J56" s="21">
        <f t="shared" si="7"/>
        <v>16258.060000000016</v>
      </c>
      <c r="K56" s="21">
        <f t="shared" si="7"/>
        <v>15205.740000000018</v>
      </c>
      <c r="L56" s="38">
        <f t="shared" si="7"/>
        <v>10438.650000000021</v>
      </c>
      <c r="M56" s="21">
        <f t="shared" si="7"/>
        <v>10438.650000000021</v>
      </c>
      <c r="N56" s="21">
        <f t="shared" si="7"/>
        <v>10438.650000000021</v>
      </c>
      <c r="O56" s="42">
        <f t="shared" si="7"/>
        <v>8470.810000000012</v>
      </c>
    </row>
    <row r="57" spans="2:15" s="3" customFormat="1" ht="11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ht="11.25">
      <c r="B58" s="2" t="s">
        <v>21</v>
      </c>
    </row>
    <row r="59" ht="11.25">
      <c r="B59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56"/>
  <sheetViews>
    <sheetView zoomScale="90" zoomScaleNormal="90" zoomScalePageLayoutView="0" workbookViewId="0" topLeftCell="A1">
      <pane xSplit="2" ySplit="7" topLeftCell="H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46" sqref="R46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9.87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2">
      <c r="B1" s="44" t="s">
        <v>105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2:16" ht="12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2:16" ht="12">
      <c r="B3" s="45" t="s">
        <v>106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"/>
    </row>
    <row r="4" spans="2:16" ht="12">
      <c r="B4" s="45" t="s">
        <v>115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"/>
    </row>
    <row r="7" spans="2:15" ht="11.25">
      <c r="B7" s="5"/>
      <c r="C7" s="5" t="s">
        <v>0</v>
      </c>
      <c r="D7" s="5" t="s">
        <v>1</v>
      </c>
      <c r="E7" s="5" t="s">
        <v>2</v>
      </c>
      <c r="F7" s="5" t="s">
        <v>3</v>
      </c>
      <c r="G7" s="27" t="s">
        <v>4</v>
      </c>
      <c r="H7" s="5" t="s">
        <v>5</v>
      </c>
      <c r="I7" s="5" t="s">
        <v>6</v>
      </c>
      <c r="J7" s="5" t="s">
        <v>7</v>
      </c>
      <c r="K7" s="5" t="s">
        <v>8</v>
      </c>
      <c r="L7" s="5" t="s">
        <v>9</v>
      </c>
      <c r="M7" s="5" t="s">
        <v>10</v>
      </c>
      <c r="N7" s="5" t="s">
        <v>11</v>
      </c>
      <c r="O7" s="6" t="s">
        <v>12</v>
      </c>
    </row>
    <row r="8" spans="2:15" ht="11.25">
      <c r="B8" s="5"/>
      <c r="C8" s="5"/>
      <c r="D8" s="5"/>
      <c r="E8" s="5"/>
      <c r="F8" s="5"/>
      <c r="G8" s="27"/>
      <c r="H8" s="5"/>
      <c r="I8" s="5"/>
      <c r="J8" s="5"/>
      <c r="K8" s="5"/>
      <c r="L8" s="5"/>
      <c r="M8" s="5"/>
      <c r="N8" s="5"/>
      <c r="O8" s="4"/>
    </row>
    <row r="9" spans="2:15" ht="11.25">
      <c r="B9" s="4" t="s">
        <v>39</v>
      </c>
      <c r="C9" s="5"/>
      <c r="D9" s="5"/>
      <c r="E9" s="5"/>
      <c r="F9" s="5"/>
      <c r="G9" s="27"/>
      <c r="H9" s="5"/>
      <c r="I9" s="5"/>
      <c r="J9" s="5"/>
      <c r="K9" s="5"/>
      <c r="L9" s="5"/>
      <c r="M9" s="5"/>
      <c r="N9" s="5"/>
      <c r="O9" s="4"/>
    </row>
    <row r="10" spans="2:15" ht="11.25">
      <c r="B10" s="5" t="s">
        <v>13</v>
      </c>
      <c r="C10" s="5">
        <v>-40278.33</v>
      </c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5">
        <f>C10+D10+E10+F10+G10+H10+I10+J10+K10+L10+M10+N10</f>
        <v>-40278.33</v>
      </c>
    </row>
    <row r="11" spans="2:15" s="3" customFormat="1" ht="11.25">
      <c r="B11" s="4" t="s">
        <v>14</v>
      </c>
      <c r="C11" s="4">
        <f>C10</f>
        <v>-40278.33</v>
      </c>
      <c r="D11" s="4">
        <f aca="true" t="shared" si="0" ref="D11:I11">C53</f>
        <v>-38806.87</v>
      </c>
      <c r="E11" s="4">
        <f t="shared" si="0"/>
        <v>-43491.100000000006</v>
      </c>
      <c r="F11" s="4">
        <f t="shared" si="0"/>
        <v>-50794.08</v>
      </c>
      <c r="G11" s="28">
        <f t="shared" si="0"/>
        <v>-46857.39</v>
      </c>
      <c r="H11" s="4">
        <f t="shared" si="0"/>
        <v>-44732.270000000004</v>
      </c>
      <c r="I11" s="4">
        <f t="shared" si="0"/>
        <v>-50096.94000000001</v>
      </c>
      <c r="J11" s="4">
        <f>I53</f>
        <v>-51335.94000000002</v>
      </c>
      <c r="K11" s="4">
        <f>J53</f>
        <v>-47592.73000000002</v>
      </c>
      <c r="L11" s="4">
        <f>K53</f>
        <v>-52518.17000000002</v>
      </c>
      <c r="M11" s="4">
        <f>L53</f>
        <v>-42675.20000000002</v>
      </c>
      <c r="N11" s="4">
        <f>M53</f>
        <v>-42675.20000000002</v>
      </c>
      <c r="O11" s="4">
        <f>O10</f>
        <v>-40278.33</v>
      </c>
    </row>
    <row r="12" spans="2:15" ht="11.25">
      <c r="B12" s="5"/>
      <c r="C12" s="5"/>
      <c r="D12" s="5"/>
      <c r="E12" s="5"/>
      <c r="F12" s="5"/>
      <c r="G12" s="27"/>
      <c r="H12" s="5"/>
      <c r="I12" s="5"/>
      <c r="J12" s="5"/>
      <c r="K12" s="5"/>
      <c r="L12" s="5"/>
      <c r="M12" s="5"/>
      <c r="N12" s="5"/>
      <c r="O12" s="4"/>
    </row>
    <row r="13" spans="2:15" ht="11.25">
      <c r="B13" s="5"/>
      <c r="C13" s="5"/>
      <c r="D13" s="5"/>
      <c r="E13" s="5"/>
      <c r="F13" s="5"/>
      <c r="G13" s="27"/>
      <c r="H13" s="5"/>
      <c r="I13" s="5"/>
      <c r="J13" s="5"/>
      <c r="K13" s="5"/>
      <c r="L13" s="5"/>
      <c r="M13" s="5"/>
      <c r="N13" s="5"/>
      <c r="O13" s="4"/>
    </row>
    <row r="14" spans="2:25" s="10" customFormat="1" ht="11.25">
      <c r="B14" s="8" t="s">
        <v>15</v>
      </c>
      <c r="C14" s="9"/>
      <c r="D14" s="9"/>
      <c r="E14" s="9"/>
      <c r="F14" s="9"/>
      <c r="G14" s="29"/>
      <c r="H14" s="9"/>
      <c r="I14" s="9"/>
      <c r="J14" s="9"/>
      <c r="K14" s="9"/>
      <c r="L14" s="9"/>
      <c r="M14" s="9"/>
      <c r="N14" s="9"/>
      <c r="O14" s="8"/>
      <c r="Y14" s="11"/>
    </row>
    <row r="15" spans="2:25" s="10" customFormat="1" ht="11.25">
      <c r="B15" s="9" t="s">
        <v>13</v>
      </c>
      <c r="C15" s="9">
        <v>16471.23</v>
      </c>
      <c r="D15" s="9">
        <v>16471.23</v>
      </c>
      <c r="E15" s="9">
        <v>16471.23</v>
      </c>
      <c r="F15" s="9">
        <v>16471.23</v>
      </c>
      <c r="G15" s="9">
        <v>16471.23</v>
      </c>
      <c r="H15" s="9">
        <v>16471.23</v>
      </c>
      <c r="I15" s="9">
        <v>17460.21</v>
      </c>
      <c r="J15" s="9">
        <v>17460.21</v>
      </c>
      <c r="K15" s="9">
        <v>17460.21</v>
      </c>
      <c r="L15" s="9">
        <v>17460.21</v>
      </c>
      <c r="M15" s="9"/>
      <c r="N15" s="9"/>
      <c r="O15" s="9">
        <f>C15+D15+E15+F15+G15+H15+I15+J15+K15+L15+M15+N15</f>
        <v>168668.21999999997</v>
      </c>
      <c r="Y15" s="11"/>
    </row>
    <row r="16" spans="2:25" s="10" customFormat="1" ht="11.25">
      <c r="B16" s="16"/>
      <c r="C16" s="9"/>
      <c r="D16" s="9"/>
      <c r="E16" s="9"/>
      <c r="F16" s="9"/>
      <c r="G16" s="29"/>
      <c r="H16" s="9"/>
      <c r="I16" s="9"/>
      <c r="J16" s="9"/>
      <c r="K16" s="9"/>
      <c r="L16" s="9"/>
      <c r="M16" s="9"/>
      <c r="N16" s="9"/>
      <c r="O16" s="9"/>
      <c r="Y16" s="11"/>
    </row>
    <row r="17" spans="2:15" s="11" customFormat="1" ht="11.25">
      <c r="B17" s="8" t="s">
        <v>14</v>
      </c>
      <c r="C17" s="8">
        <f aca="true" t="shared" si="1" ref="C17:N17">SUM(C13:C15)</f>
        <v>16471.23</v>
      </c>
      <c r="D17" s="8">
        <f t="shared" si="1"/>
        <v>16471.23</v>
      </c>
      <c r="E17" s="8">
        <f t="shared" si="1"/>
        <v>16471.23</v>
      </c>
      <c r="F17" s="8">
        <f t="shared" si="1"/>
        <v>16471.23</v>
      </c>
      <c r="G17" s="30">
        <f t="shared" si="1"/>
        <v>16471.23</v>
      </c>
      <c r="H17" s="8">
        <f t="shared" si="1"/>
        <v>16471.23</v>
      </c>
      <c r="I17" s="8">
        <f t="shared" si="1"/>
        <v>17460.21</v>
      </c>
      <c r="J17" s="8">
        <f t="shared" si="1"/>
        <v>17460.21</v>
      </c>
      <c r="K17" s="8">
        <f t="shared" si="1"/>
        <v>17460.21</v>
      </c>
      <c r="L17" s="8">
        <f t="shared" si="1"/>
        <v>17460.21</v>
      </c>
      <c r="M17" s="8">
        <f t="shared" si="1"/>
        <v>0</v>
      </c>
      <c r="N17" s="8">
        <f t="shared" si="1"/>
        <v>0</v>
      </c>
      <c r="O17" s="8">
        <f>C17+D17+E17+F17+G17+H17+I17+J17+K17+L17+M17+N17</f>
        <v>168668.21999999997</v>
      </c>
    </row>
    <row r="18" spans="2:15" ht="11.25">
      <c r="B18" s="5"/>
      <c r="C18" s="5"/>
      <c r="D18" s="5"/>
      <c r="E18" s="5"/>
      <c r="F18" s="5"/>
      <c r="G18" s="27"/>
      <c r="H18" s="5"/>
      <c r="I18" s="5"/>
      <c r="J18" s="5"/>
      <c r="K18" s="5"/>
      <c r="L18" s="5"/>
      <c r="M18" s="5"/>
      <c r="N18" s="5"/>
      <c r="O18" s="4"/>
    </row>
    <row r="19" spans="2:25" s="25" customFormat="1" ht="11.25">
      <c r="B19" s="23" t="s">
        <v>16</v>
      </c>
      <c r="C19" s="24"/>
      <c r="D19" s="24"/>
      <c r="E19" s="24"/>
      <c r="F19" s="24"/>
      <c r="G19" s="31"/>
      <c r="H19" s="24"/>
      <c r="I19" s="24"/>
      <c r="J19" s="24"/>
      <c r="K19" s="24"/>
      <c r="L19" s="24"/>
      <c r="M19" s="24"/>
      <c r="N19" s="24"/>
      <c r="O19" s="23"/>
      <c r="Y19" s="26"/>
    </row>
    <row r="20" spans="2:25" s="25" customFormat="1" ht="11.25">
      <c r="B20" s="24" t="s">
        <v>13</v>
      </c>
      <c r="C20" s="24">
        <f>13237.41+1000+539.16</f>
        <v>14776.57</v>
      </c>
      <c r="D20" s="24">
        <f>12175.46+539.16+389</f>
        <v>13103.619999999999</v>
      </c>
      <c r="E20" s="24">
        <f>11509.61+1000</f>
        <v>12509.61</v>
      </c>
      <c r="F20" s="24">
        <f>15165.69+1000</f>
        <v>16165.69</v>
      </c>
      <c r="G20" s="31">
        <f>16437.44+1000</f>
        <v>17437.44</v>
      </c>
      <c r="H20" s="24">
        <v>11038.34</v>
      </c>
      <c r="I20" s="24">
        <f>13431.74+2000</f>
        <v>15431.74</v>
      </c>
      <c r="J20" s="24">
        <f>15291.08+1963.42+1000</f>
        <v>18254.5</v>
      </c>
      <c r="K20" s="24">
        <f>13023.9+1000</f>
        <v>14023.9</v>
      </c>
      <c r="L20" s="24">
        <f>24244.09+1000</f>
        <v>25244.09</v>
      </c>
      <c r="M20" s="24"/>
      <c r="N20" s="24"/>
      <c r="O20" s="24">
        <f>C20+D20+E20+F20+G20+H20+I20+J20+K20+L20+M20+N20-1241.84</f>
        <v>156743.66</v>
      </c>
      <c r="Y20" s="26"/>
    </row>
    <row r="21" spans="2:25" s="25" customFormat="1" ht="11.25">
      <c r="B21" s="16"/>
      <c r="C21" s="24"/>
      <c r="D21" s="24"/>
      <c r="E21" s="24"/>
      <c r="F21" s="24"/>
      <c r="G21" s="31"/>
      <c r="H21" s="24"/>
      <c r="I21" s="24"/>
      <c r="J21" s="24"/>
      <c r="K21" s="24"/>
      <c r="L21" s="24"/>
      <c r="M21" s="24"/>
      <c r="N21" s="24"/>
      <c r="O21" s="24"/>
      <c r="Y21" s="26"/>
    </row>
    <row r="22" spans="2:15" s="26" customFormat="1" ht="11.25">
      <c r="B22" s="23" t="s">
        <v>14</v>
      </c>
      <c r="C22" s="23">
        <f aca="true" t="shared" si="2" ref="C22:O22">SUM(C20:C21)</f>
        <v>14776.57</v>
      </c>
      <c r="D22" s="23">
        <f t="shared" si="2"/>
        <v>13103.619999999999</v>
      </c>
      <c r="E22" s="23">
        <f t="shared" si="2"/>
        <v>12509.61</v>
      </c>
      <c r="F22" s="23">
        <f t="shared" si="2"/>
        <v>16165.69</v>
      </c>
      <c r="G22" s="32">
        <f t="shared" si="2"/>
        <v>17437.44</v>
      </c>
      <c r="H22" s="23">
        <f t="shared" si="2"/>
        <v>11038.34</v>
      </c>
      <c r="I22" s="23">
        <f t="shared" si="2"/>
        <v>15431.74</v>
      </c>
      <c r="J22" s="23">
        <f t="shared" si="2"/>
        <v>18254.5</v>
      </c>
      <c r="K22" s="23">
        <f t="shared" si="2"/>
        <v>14023.9</v>
      </c>
      <c r="L22" s="23">
        <f t="shared" si="2"/>
        <v>25244.09</v>
      </c>
      <c r="M22" s="23">
        <f t="shared" si="2"/>
        <v>0</v>
      </c>
      <c r="N22" s="23">
        <f t="shared" si="2"/>
        <v>0</v>
      </c>
      <c r="O22" s="23">
        <f t="shared" si="2"/>
        <v>156743.66</v>
      </c>
    </row>
    <row r="23" spans="2:15" ht="11.25">
      <c r="B23" s="5"/>
      <c r="C23" s="5"/>
      <c r="D23" s="5"/>
      <c r="E23" s="5"/>
      <c r="F23" s="5"/>
      <c r="G23" s="27"/>
      <c r="H23" s="5"/>
      <c r="I23" s="5"/>
      <c r="J23" s="5"/>
      <c r="K23" s="5"/>
      <c r="L23" s="5"/>
      <c r="M23" s="5"/>
      <c r="N23" s="5"/>
      <c r="O23" s="4"/>
    </row>
    <row r="24" spans="2:15" ht="11.25">
      <c r="B24" s="4" t="s">
        <v>17</v>
      </c>
      <c r="C24" s="12">
        <f aca="true" t="shared" si="3" ref="C24:O24">C22/C17</f>
        <v>0.8971139374533657</v>
      </c>
      <c r="D24" s="12">
        <f t="shared" si="3"/>
        <v>0.7955459306924861</v>
      </c>
      <c r="E24" s="12">
        <f t="shared" si="3"/>
        <v>0.7594824430233809</v>
      </c>
      <c r="F24" s="12">
        <f t="shared" si="3"/>
        <v>0.9814500799272429</v>
      </c>
      <c r="G24" s="33">
        <f t="shared" si="3"/>
        <v>1.0586604643369073</v>
      </c>
      <c r="H24" s="12">
        <f t="shared" si="3"/>
        <v>0.6701588163118358</v>
      </c>
      <c r="I24" s="12">
        <f t="shared" si="3"/>
        <v>0.8838232758941617</v>
      </c>
      <c r="J24" s="12">
        <f t="shared" si="3"/>
        <v>1.045491434524556</v>
      </c>
      <c r="K24" s="12">
        <f t="shared" si="3"/>
        <v>0.8031919432813237</v>
      </c>
      <c r="L24" s="12">
        <f t="shared" si="3"/>
        <v>1.4458067801017285</v>
      </c>
      <c r="M24" s="12" t="e">
        <f t="shared" si="3"/>
        <v>#DIV/0!</v>
      </c>
      <c r="N24" s="12" t="e">
        <f t="shared" si="3"/>
        <v>#DIV/0!</v>
      </c>
      <c r="O24" s="13">
        <f t="shared" si="3"/>
        <v>0.9293016787631958</v>
      </c>
    </row>
    <row r="25" spans="2:15" ht="11.25">
      <c r="B25" s="4"/>
      <c r="C25" s="12"/>
      <c r="D25" s="12"/>
      <c r="E25" s="12"/>
      <c r="F25" s="12"/>
      <c r="G25" s="33"/>
      <c r="H25" s="12"/>
      <c r="I25" s="12"/>
      <c r="J25" s="12"/>
      <c r="K25" s="12"/>
      <c r="L25" s="12"/>
      <c r="M25" s="12"/>
      <c r="N25" s="12"/>
      <c r="O25" s="14"/>
    </row>
    <row r="26" spans="2:15" ht="11.25">
      <c r="B26" s="4" t="s">
        <v>18</v>
      </c>
      <c r="C26" s="7">
        <f aca="true" t="shared" si="4" ref="C26:O26">C17-C22</f>
        <v>1694.6599999999999</v>
      </c>
      <c r="D26" s="7">
        <f t="shared" si="4"/>
        <v>3367.6100000000006</v>
      </c>
      <c r="E26" s="7">
        <f t="shared" si="4"/>
        <v>3961.619999999999</v>
      </c>
      <c r="F26" s="7">
        <f t="shared" si="4"/>
        <v>305.53999999999905</v>
      </c>
      <c r="G26" s="34">
        <f t="shared" si="4"/>
        <v>-966.2099999999991</v>
      </c>
      <c r="H26" s="7">
        <f t="shared" si="4"/>
        <v>5432.889999999999</v>
      </c>
      <c r="I26" s="7">
        <f t="shared" si="4"/>
        <v>2028.4699999999993</v>
      </c>
      <c r="J26" s="7">
        <f t="shared" si="4"/>
        <v>-794.2900000000009</v>
      </c>
      <c r="K26" s="7">
        <f t="shared" si="4"/>
        <v>3436.3099999999995</v>
      </c>
      <c r="L26" s="7">
        <f t="shared" si="4"/>
        <v>-7783.880000000001</v>
      </c>
      <c r="M26" s="7">
        <f t="shared" si="4"/>
        <v>0</v>
      </c>
      <c r="N26" s="7">
        <f t="shared" si="4"/>
        <v>0</v>
      </c>
      <c r="O26" s="7">
        <f t="shared" si="4"/>
        <v>11924.559999999969</v>
      </c>
    </row>
    <row r="27" spans="2:15" ht="11.25">
      <c r="B27" s="5"/>
      <c r="C27" s="5"/>
      <c r="D27" s="5"/>
      <c r="E27" s="5"/>
      <c r="F27" s="5"/>
      <c r="G27" s="27"/>
      <c r="H27" s="5"/>
      <c r="I27" s="5"/>
      <c r="J27" s="5"/>
      <c r="K27" s="5"/>
      <c r="L27" s="5"/>
      <c r="M27" s="5"/>
      <c r="N27" s="5"/>
      <c r="O27" s="4"/>
    </row>
    <row r="28" spans="2:25" s="17" customFormat="1" ht="11.25">
      <c r="B28" s="15" t="s">
        <v>19</v>
      </c>
      <c r="C28" s="16"/>
      <c r="D28" s="16"/>
      <c r="E28" s="16"/>
      <c r="F28" s="16"/>
      <c r="G28" s="35"/>
      <c r="H28" s="16"/>
      <c r="I28" s="16"/>
      <c r="J28" s="16"/>
      <c r="K28" s="16"/>
      <c r="L28" s="16"/>
      <c r="M28" s="16"/>
      <c r="N28" s="16"/>
      <c r="O28" s="15"/>
      <c r="Y28" s="18"/>
    </row>
    <row r="29" spans="2:25" s="17" customFormat="1" ht="11.25">
      <c r="B29" s="16"/>
      <c r="C29" s="16"/>
      <c r="D29" s="16"/>
      <c r="E29" s="16"/>
      <c r="F29" s="16"/>
      <c r="G29" s="35"/>
      <c r="H29" s="16"/>
      <c r="I29" s="16"/>
      <c r="J29" s="16"/>
      <c r="K29" s="16"/>
      <c r="L29" s="16"/>
      <c r="M29" s="16"/>
      <c r="N29" s="16"/>
      <c r="O29" s="15"/>
      <c r="Y29" s="18"/>
    </row>
    <row r="30" spans="2:25" s="17" customFormat="1" ht="11.25">
      <c r="B30" s="16" t="s">
        <v>20</v>
      </c>
      <c r="C30" s="16">
        <v>111.1</v>
      </c>
      <c r="D30" s="16">
        <v>288.69</v>
      </c>
      <c r="E30" s="16">
        <v>397.4</v>
      </c>
      <c r="F30" s="16">
        <v>402.62</v>
      </c>
      <c r="G30" s="35">
        <v>653.08</v>
      </c>
      <c r="H30" s="16">
        <v>715.11</v>
      </c>
      <c r="I30" s="16">
        <v>437.11</v>
      </c>
      <c r="J30" s="16">
        <v>301.54</v>
      </c>
      <c r="K30" s="16">
        <v>391.54</v>
      </c>
      <c r="L30" s="16">
        <v>818.3</v>
      </c>
      <c r="M30" s="16"/>
      <c r="N30" s="16"/>
      <c r="O30" s="16">
        <f>C30+D30+E30+F30+G30+H30+I30+J30+K30+L30+M30+N30</f>
        <v>4516.49</v>
      </c>
      <c r="Y30" s="18"/>
    </row>
    <row r="31" spans="2:25" s="17" customFormat="1" ht="11.25">
      <c r="B31" s="16" t="s">
        <v>32</v>
      </c>
      <c r="C31" s="16">
        <f>5507.01+134.64</f>
        <v>5641.650000000001</v>
      </c>
      <c r="D31" s="16">
        <f>5372.37+367.04</f>
        <v>5739.41</v>
      </c>
      <c r="E31" s="16">
        <v>5507.01</v>
      </c>
      <c r="F31" s="16">
        <v>5507.01</v>
      </c>
      <c r="G31" s="35">
        <v>5507.01</v>
      </c>
      <c r="H31" s="16">
        <v>5507.01</v>
      </c>
      <c r="I31" s="16">
        <v>5507.01</v>
      </c>
      <c r="J31" s="16">
        <v>5507.01</v>
      </c>
      <c r="K31" s="16">
        <v>5507.01</v>
      </c>
      <c r="L31" s="16">
        <v>5507.01</v>
      </c>
      <c r="M31" s="16"/>
      <c r="N31" s="16"/>
      <c r="O31" s="16">
        <f aca="true" t="shared" si="5" ref="O31:O50">C31+D31+E31+F31+G31+H31+I31+J31+K31+L31+M31+N31</f>
        <v>55437.140000000014</v>
      </c>
      <c r="Y31" s="18"/>
    </row>
    <row r="32" spans="2:25" s="17" customFormat="1" ht="11.25">
      <c r="B32" s="16" t="s">
        <v>26</v>
      </c>
      <c r="C32" s="16">
        <f>1055.6+452.49</f>
        <v>1508.09</v>
      </c>
      <c r="D32" s="16">
        <f>1622.32+547.76</f>
        <v>2170.08</v>
      </c>
      <c r="E32" s="16">
        <f>1622.32+547.76</f>
        <v>2170.08</v>
      </c>
      <c r="F32" s="16">
        <f>710.18+807.84+547.76</f>
        <v>2065.7799999999997</v>
      </c>
      <c r="G32" s="35">
        <f>814.48+1622.32</f>
        <v>2436.8</v>
      </c>
      <c r="H32" s="16">
        <f>1622.32+547.76</f>
        <v>2170.08</v>
      </c>
      <c r="I32" s="16">
        <f>1622.32+547.76</f>
        <v>2170.08</v>
      </c>
      <c r="J32" s="16">
        <f>1622.32+547.76</f>
        <v>2170.08</v>
      </c>
      <c r="K32" s="16">
        <f>1622.32+547.76</f>
        <v>2170.08</v>
      </c>
      <c r="L32" s="16">
        <f>1622.32+547.76</f>
        <v>2170.08</v>
      </c>
      <c r="M32" s="16"/>
      <c r="N32" s="16"/>
      <c r="O32" s="16">
        <f t="shared" si="5"/>
        <v>21201.230000000003</v>
      </c>
      <c r="Y32" s="18"/>
    </row>
    <row r="33" spans="2:25" s="17" customFormat="1" ht="11.25">
      <c r="B33" s="16" t="s">
        <v>27</v>
      </c>
      <c r="C33" s="16">
        <f>404.7+2595.15</f>
        <v>2999.85</v>
      </c>
      <c r="D33" s="16">
        <f>269.28+2595.15</f>
        <v>2864.4300000000003</v>
      </c>
      <c r="E33" s="16">
        <v>2595.15</v>
      </c>
      <c r="F33" s="16">
        <v>807.84</v>
      </c>
      <c r="G33" s="35">
        <f>1787.32+1346.39+547.76</f>
        <v>3681.4700000000003</v>
      </c>
      <c r="H33" s="16">
        <f>1248.76+1346.49</f>
        <v>2595.25</v>
      </c>
      <c r="I33" s="16">
        <f>1248.76+1346.39</f>
        <v>2595.15</v>
      </c>
      <c r="J33" s="16">
        <f>2887.37+65.36</f>
        <v>2952.73</v>
      </c>
      <c r="K33" s="16">
        <f>2887.37+65.36</f>
        <v>2952.73</v>
      </c>
      <c r="L33" s="16">
        <f>2887.37+65.36+1248.76</f>
        <v>4201.49</v>
      </c>
      <c r="M33" s="16"/>
      <c r="N33" s="16"/>
      <c r="O33" s="16">
        <f t="shared" si="5"/>
        <v>28246.090000000004</v>
      </c>
      <c r="Y33" s="18"/>
    </row>
    <row r="34" spans="2:25" s="17" customFormat="1" ht="11.25">
      <c r="B34" s="16" t="s">
        <v>23</v>
      </c>
      <c r="C34" s="16">
        <v>177.75</v>
      </c>
      <c r="D34" s="16">
        <v>489.64</v>
      </c>
      <c r="E34" s="16">
        <v>2375.1</v>
      </c>
      <c r="F34" s="16">
        <v>818.62</v>
      </c>
      <c r="G34" s="35">
        <v>824.41</v>
      </c>
      <c r="H34" s="16">
        <v>4427.9</v>
      </c>
      <c r="I34" s="16">
        <v>1000</v>
      </c>
      <c r="J34" s="16"/>
      <c r="K34" s="16"/>
      <c r="L34" s="16"/>
      <c r="M34" s="16"/>
      <c r="N34" s="16"/>
      <c r="O34" s="16">
        <f t="shared" si="5"/>
        <v>10113.419999999998</v>
      </c>
      <c r="Y34" s="18"/>
    </row>
    <row r="35" spans="2:25" s="17" customFormat="1" ht="11.25">
      <c r="B35" s="19" t="s">
        <v>28</v>
      </c>
      <c r="C35" s="16">
        <v>15.6</v>
      </c>
      <c r="D35" s="16">
        <v>15.6</v>
      </c>
      <c r="E35" s="16">
        <v>15.6</v>
      </c>
      <c r="F35" s="16">
        <v>15.6</v>
      </c>
      <c r="G35" s="35"/>
      <c r="H35" s="16"/>
      <c r="I35" s="16">
        <v>15.6</v>
      </c>
      <c r="J35" s="16">
        <v>15.6</v>
      </c>
      <c r="K35" s="16">
        <v>15.6</v>
      </c>
      <c r="L35" s="16">
        <v>15.6</v>
      </c>
      <c r="M35" s="16"/>
      <c r="N35" s="16"/>
      <c r="O35" s="16">
        <f t="shared" si="5"/>
        <v>124.79999999999998</v>
      </c>
      <c r="Y35" s="18"/>
    </row>
    <row r="36" spans="2:25" s="17" customFormat="1" ht="11.25">
      <c r="B36" s="16" t="s">
        <v>31</v>
      </c>
      <c r="C36" s="16">
        <f>852.57+107.96</f>
        <v>960.5300000000001</v>
      </c>
      <c r="D36" s="16">
        <f>593.48+367.04</f>
        <v>960.52</v>
      </c>
      <c r="E36" s="16"/>
      <c r="F36" s="16">
        <f>675.37+285.16</f>
        <v>960.53</v>
      </c>
      <c r="G36" s="35">
        <f>676.32+284.21</f>
        <v>960.53</v>
      </c>
      <c r="H36" s="16"/>
      <c r="I36" s="16">
        <f>662.89+638.55+297.64+321.97</f>
        <v>1921.05</v>
      </c>
      <c r="J36" s="16">
        <f>709.2+251.32</f>
        <v>960.52</v>
      </c>
      <c r="K36" s="16">
        <f>742.32+218.21</f>
        <v>960.5300000000001</v>
      </c>
      <c r="L36" s="16">
        <f>686.58+273.94</f>
        <v>960.52</v>
      </c>
      <c r="M36" s="16"/>
      <c r="N36" s="16"/>
      <c r="O36" s="16">
        <f t="shared" si="5"/>
        <v>8644.73</v>
      </c>
      <c r="Y36" s="18"/>
    </row>
    <row r="37" spans="2:25" s="17" customFormat="1" ht="11.25">
      <c r="B37" s="16" t="s">
        <v>30</v>
      </c>
      <c r="C37" s="16">
        <v>249.02</v>
      </c>
      <c r="D37" s="16">
        <v>249.02</v>
      </c>
      <c r="E37" s="16">
        <v>249.03</v>
      </c>
      <c r="F37" s="16">
        <v>249.03</v>
      </c>
      <c r="G37" s="35">
        <v>249.02</v>
      </c>
      <c r="H37" s="16">
        <v>249.02</v>
      </c>
      <c r="I37" s="16">
        <v>249.03</v>
      </c>
      <c r="J37" s="16">
        <v>249.03</v>
      </c>
      <c r="K37" s="16">
        <v>249.03</v>
      </c>
      <c r="L37" s="16">
        <v>249.03</v>
      </c>
      <c r="M37" s="16"/>
      <c r="N37" s="16"/>
      <c r="O37" s="16">
        <f t="shared" si="5"/>
        <v>2490.26</v>
      </c>
      <c r="Y37" s="18"/>
    </row>
    <row r="38" spans="2:25" s="17" customFormat="1" ht="11.25">
      <c r="B38" s="16" t="s">
        <v>24</v>
      </c>
      <c r="C38" s="16">
        <v>102.36</v>
      </c>
      <c r="D38" s="16">
        <v>352.48</v>
      </c>
      <c r="E38" s="16">
        <v>117.65</v>
      </c>
      <c r="F38" s="16">
        <v>401.97</v>
      </c>
      <c r="G38" s="35"/>
      <c r="H38" s="16">
        <v>201.65</v>
      </c>
      <c r="I38" s="16">
        <v>466.28</v>
      </c>
      <c r="J38" s="16">
        <v>374.82</v>
      </c>
      <c r="K38" s="16">
        <v>202.82</v>
      </c>
      <c r="L38" s="16">
        <v>479.09</v>
      </c>
      <c r="M38" s="16"/>
      <c r="N38" s="16"/>
      <c r="O38" s="16">
        <f t="shared" si="5"/>
        <v>2699.1200000000003</v>
      </c>
      <c r="Y38" s="18"/>
    </row>
    <row r="39" spans="2:25" s="17" customFormat="1" ht="11.25">
      <c r="B39" s="16" t="s">
        <v>34</v>
      </c>
      <c r="C39" s="16">
        <v>1000</v>
      </c>
      <c r="D39" s="16">
        <v>389</v>
      </c>
      <c r="E39" s="16">
        <v>1000</v>
      </c>
      <c r="F39" s="16">
        <v>1000</v>
      </c>
      <c r="G39" s="35">
        <v>1000</v>
      </c>
      <c r="H39" s="16"/>
      <c r="I39" s="16">
        <v>2000</v>
      </c>
      <c r="J39" s="16">
        <v>1000</v>
      </c>
      <c r="K39" s="16">
        <v>1000</v>
      </c>
      <c r="L39" s="16">
        <v>1000</v>
      </c>
      <c r="M39" s="16"/>
      <c r="N39" s="16"/>
      <c r="O39" s="16">
        <f t="shared" si="5"/>
        <v>9389</v>
      </c>
      <c r="Y39" s="18"/>
    </row>
    <row r="40" spans="2:25" s="17" customFormat="1" ht="11.25">
      <c r="B40" s="16" t="s">
        <v>35</v>
      </c>
      <c r="C40" s="16"/>
      <c r="D40" s="16"/>
      <c r="E40" s="16"/>
      <c r="F40" s="16"/>
      <c r="G40" s="35"/>
      <c r="H40" s="16">
        <f>309.43+203.68</f>
        <v>513.11</v>
      </c>
      <c r="I40" s="16">
        <v>309.43</v>
      </c>
      <c r="J40" s="16">
        <f>309.43+34.78+16.43</f>
        <v>360.64000000000004</v>
      </c>
      <c r="K40" s="16"/>
      <c r="L40" s="16"/>
      <c r="M40" s="16"/>
      <c r="N40" s="16"/>
      <c r="O40" s="16">
        <f t="shared" si="5"/>
        <v>1183.18</v>
      </c>
      <c r="Y40" s="18"/>
    </row>
    <row r="41" spans="2:25" s="17" customFormat="1" ht="11.25">
      <c r="B41" s="16" t="s">
        <v>36</v>
      </c>
      <c r="C41" s="16"/>
      <c r="D41" s="16"/>
      <c r="E41" s="16">
        <v>5385.57</v>
      </c>
      <c r="F41" s="16"/>
      <c r="G41" s="35"/>
      <c r="H41" s="16">
        <v>23.88</v>
      </c>
      <c r="I41" s="16"/>
      <c r="J41" s="16"/>
      <c r="K41" s="16"/>
      <c r="L41" s="16"/>
      <c r="M41" s="16"/>
      <c r="N41" s="16"/>
      <c r="O41" s="16">
        <f t="shared" si="5"/>
        <v>5409.45</v>
      </c>
      <c r="Y41" s="18"/>
    </row>
    <row r="42" spans="2:25" s="17" customFormat="1" ht="11.25">
      <c r="B42" s="16"/>
      <c r="C42" s="16"/>
      <c r="D42" s="16"/>
      <c r="E42" s="16"/>
      <c r="F42" s="16"/>
      <c r="G42" s="35"/>
      <c r="H42" s="16"/>
      <c r="I42" s="16"/>
      <c r="J42" s="16"/>
      <c r="K42" s="16"/>
      <c r="L42" s="16"/>
      <c r="M42" s="16"/>
      <c r="N42" s="16"/>
      <c r="O42" s="16"/>
      <c r="Y42" s="18"/>
    </row>
    <row r="43" spans="2:25" s="17" customFormat="1" ht="11.25">
      <c r="B43" s="41" t="s">
        <v>107</v>
      </c>
      <c r="C43" s="16"/>
      <c r="D43" s="16"/>
      <c r="E43" s="16"/>
      <c r="F43" s="16"/>
      <c r="G43" s="35"/>
      <c r="H43" s="16"/>
      <c r="I43" s="16"/>
      <c r="J43" s="16"/>
      <c r="K43" s="16"/>
      <c r="L43" s="16"/>
      <c r="M43" s="16"/>
      <c r="N43" s="16"/>
      <c r="O43" s="16">
        <v>6312.5</v>
      </c>
      <c r="Y43" s="18"/>
    </row>
    <row r="44" spans="2:25" s="17" customFormat="1" ht="11.25">
      <c r="B44" s="16" t="s">
        <v>47</v>
      </c>
      <c r="C44" s="16"/>
      <c r="D44" s="16">
        <v>3729.82</v>
      </c>
      <c r="E44" s="16"/>
      <c r="F44" s="16"/>
      <c r="G44" s="35"/>
      <c r="H44" s="16"/>
      <c r="I44" s="16"/>
      <c r="J44" s="16"/>
      <c r="K44" s="16"/>
      <c r="L44" s="16"/>
      <c r="M44" s="16"/>
      <c r="N44" s="16"/>
      <c r="O44" s="16">
        <f t="shared" si="5"/>
        <v>3729.82</v>
      </c>
      <c r="Y44" s="18"/>
    </row>
    <row r="45" spans="2:25" s="17" customFormat="1" ht="11.25">
      <c r="B45" s="16" t="s">
        <v>64</v>
      </c>
      <c r="C45" s="16">
        <v>539.16</v>
      </c>
      <c r="D45" s="16">
        <v>539.16</v>
      </c>
      <c r="E45" s="16"/>
      <c r="F45" s="16"/>
      <c r="G45" s="35"/>
      <c r="H45" s="16"/>
      <c r="I45" s="16"/>
      <c r="J45" s="16"/>
      <c r="K45" s="16"/>
      <c r="L45" s="16"/>
      <c r="M45" s="16"/>
      <c r="N45" s="16"/>
      <c r="O45" s="16">
        <f t="shared" si="5"/>
        <v>1078.32</v>
      </c>
      <c r="Y45" s="18"/>
    </row>
    <row r="46" spans="2:25" s="17" customFormat="1" ht="11.25">
      <c r="B46" s="16" t="s">
        <v>70</v>
      </c>
      <c r="C46" s="16"/>
      <c r="D46" s="16"/>
      <c r="E46" s="16"/>
      <c r="F46" s="16"/>
      <c r="G46" s="35"/>
      <c r="H46" s="16"/>
      <c r="I46" s="16"/>
      <c r="J46" s="16">
        <v>619.32</v>
      </c>
      <c r="K46" s="16"/>
      <c r="L46" s="16"/>
      <c r="M46" s="16"/>
      <c r="N46" s="16"/>
      <c r="O46" s="16">
        <f t="shared" si="5"/>
        <v>619.32</v>
      </c>
      <c r="Y46" s="18"/>
    </row>
    <row r="47" spans="2:25" s="17" customFormat="1" ht="11.25">
      <c r="B47" s="16" t="s">
        <v>73</v>
      </c>
      <c r="C47" s="16"/>
      <c r="D47" s="16"/>
      <c r="E47" s="16"/>
      <c r="F47" s="16"/>
      <c r="G47" s="35"/>
      <c r="H47" s="16"/>
      <c r="I47" s="16"/>
      <c r="J47" s="16"/>
      <c r="K47" s="16">
        <v>5500</v>
      </c>
      <c r="L47" s="16"/>
      <c r="M47" s="16"/>
      <c r="N47" s="16"/>
      <c r="O47" s="16">
        <f t="shared" si="5"/>
        <v>5500</v>
      </c>
      <c r="Y47" s="18"/>
    </row>
    <row r="48" spans="2:25" s="17" customFormat="1" ht="11.25">
      <c r="B48" s="16"/>
      <c r="C48" s="16"/>
      <c r="D48" s="16"/>
      <c r="E48" s="16"/>
      <c r="F48" s="16"/>
      <c r="G48" s="35"/>
      <c r="H48" s="16"/>
      <c r="I48" s="16"/>
      <c r="J48" s="16"/>
      <c r="K48" s="16"/>
      <c r="L48" s="16"/>
      <c r="M48" s="16"/>
      <c r="N48" s="16"/>
      <c r="O48" s="16">
        <f t="shared" si="5"/>
        <v>0</v>
      </c>
      <c r="Y48" s="18"/>
    </row>
    <row r="49" spans="2:25" s="17" customFormat="1" ht="11.25">
      <c r="B49" s="16"/>
      <c r="C49" s="16"/>
      <c r="D49" s="16"/>
      <c r="E49" s="16"/>
      <c r="F49" s="16"/>
      <c r="G49" s="35"/>
      <c r="H49" s="16"/>
      <c r="I49" s="16"/>
      <c r="J49" s="16"/>
      <c r="K49" s="16"/>
      <c r="L49" s="16"/>
      <c r="M49" s="16"/>
      <c r="N49" s="16"/>
      <c r="O49" s="16">
        <f t="shared" si="5"/>
        <v>0</v>
      </c>
      <c r="Y49" s="18"/>
    </row>
    <row r="50" spans="2:25" s="17" customFormat="1" ht="11.25">
      <c r="B50" s="16"/>
      <c r="C50" s="16"/>
      <c r="D50" s="16"/>
      <c r="E50" s="16"/>
      <c r="F50" s="16"/>
      <c r="G50" s="35"/>
      <c r="H50" s="16"/>
      <c r="I50" s="16"/>
      <c r="J50" s="16"/>
      <c r="K50" s="16"/>
      <c r="L50" s="16"/>
      <c r="M50" s="16"/>
      <c r="N50" s="16"/>
      <c r="O50" s="16">
        <f t="shared" si="5"/>
        <v>0</v>
      </c>
      <c r="Y50" s="18"/>
    </row>
    <row r="51" spans="2:25" s="17" customFormat="1" ht="11.25">
      <c r="B51" s="15" t="s">
        <v>14</v>
      </c>
      <c r="C51" s="15">
        <f aca="true" t="shared" si="6" ref="C51:O51">SUM(C30:C50)</f>
        <v>13305.110000000002</v>
      </c>
      <c r="D51" s="15">
        <f t="shared" si="6"/>
        <v>17787.850000000002</v>
      </c>
      <c r="E51" s="15">
        <f t="shared" si="6"/>
        <v>19812.59</v>
      </c>
      <c r="F51" s="15">
        <f t="shared" si="6"/>
        <v>12229.000000000002</v>
      </c>
      <c r="G51" s="36">
        <f t="shared" si="6"/>
        <v>15312.320000000002</v>
      </c>
      <c r="H51" s="15">
        <f t="shared" si="6"/>
        <v>16403.010000000002</v>
      </c>
      <c r="I51" s="15">
        <f t="shared" si="6"/>
        <v>16670.74</v>
      </c>
      <c r="J51" s="15">
        <f t="shared" si="6"/>
        <v>14511.29</v>
      </c>
      <c r="K51" s="15">
        <f t="shared" si="6"/>
        <v>18949.340000000004</v>
      </c>
      <c r="L51" s="15">
        <f t="shared" si="6"/>
        <v>15401.12</v>
      </c>
      <c r="M51" s="15">
        <f t="shared" si="6"/>
        <v>0</v>
      </c>
      <c r="N51" s="15">
        <f t="shared" si="6"/>
        <v>0</v>
      </c>
      <c r="O51" s="15">
        <f t="shared" si="6"/>
        <v>166694.87000000002</v>
      </c>
      <c r="Y51" s="18"/>
    </row>
    <row r="52" ht="11.25">
      <c r="G52" s="37"/>
    </row>
    <row r="53" spans="2:15" ht="11.25">
      <c r="B53" s="20" t="s">
        <v>109</v>
      </c>
      <c r="C53" s="21">
        <f aca="true" t="shared" si="7" ref="C53:O53">C11+C22-C51</f>
        <v>-38806.87</v>
      </c>
      <c r="D53" s="21">
        <f t="shared" si="7"/>
        <v>-43491.100000000006</v>
      </c>
      <c r="E53" s="21">
        <f t="shared" si="7"/>
        <v>-50794.08</v>
      </c>
      <c r="F53" s="21">
        <f t="shared" si="7"/>
        <v>-46857.39</v>
      </c>
      <c r="G53" s="38">
        <f t="shared" si="7"/>
        <v>-44732.270000000004</v>
      </c>
      <c r="H53" s="21">
        <f t="shared" si="7"/>
        <v>-50096.94000000001</v>
      </c>
      <c r="I53" s="21">
        <f t="shared" si="7"/>
        <v>-51335.94000000002</v>
      </c>
      <c r="J53" s="21">
        <f t="shared" si="7"/>
        <v>-47592.73000000002</v>
      </c>
      <c r="K53" s="21">
        <f t="shared" si="7"/>
        <v>-52518.17000000002</v>
      </c>
      <c r="L53" s="38">
        <f t="shared" si="7"/>
        <v>-42675.20000000002</v>
      </c>
      <c r="M53" s="21">
        <f t="shared" si="7"/>
        <v>-42675.20000000002</v>
      </c>
      <c r="N53" s="21">
        <f t="shared" si="7"/>
        <v>-42675.20000000002</v>
      </c>
      <c r="O53" s="42">
        <f t="shared" si="7"/>
        <v>-50229.54000000002</v>
      </c>
    </row>
    <row r="54" spans="2:15" s="3" customFormat="1" ht="11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ht="11.25">
      <c r="B55" s="2" t="s">
        <v>21</v>
      </c>
    </row>
    <row r="56" ht="11.25">
      <c r="B56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57"/>
  <sheetViews>
    <sheetView zoomScale="90" zoomScaleNormal="90" zoomScalePageLayoutView="0" workbookViewId="0" topLeftCell="A1">
      <pane xSplit="2" ySplit="8" topLeftCell="C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54" sqref="O54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8.62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2">
      <c r="B1" s="44" t="s">
        <v>105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2:16" ht="12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2:16" ht="12">
      <c r="B3" s="45" t="s">
        <v>106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"/>
    </row>
    <row r="4" spans="2:16" ht="12">
      <c r="B4" s="45" t="s">
        <v>116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"/>
    </row>
    <row r="5" ht="11.25">
      <c r="P5" s="1"/>
    </row>
    <row r="7" spans="2:15" ht="11.25">
      <c r="B7" s="6" t="s">
        <v>44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1.25">
      <c r="B8" s="5"/>
      <c r="C8" s="5" t="s">
        <v>0</v>
      </c>
      <c r="D8" s="5" t="s">
        <v>1</v>
      </c>
      <c r="E8" s="5" t="s">
        <v>2</v>
      </c>
      <c r="F8" s="5" t="s">
        <v>3</v>
      </c>
      <c r="G8" s="27" t="s">
        <v>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10</v>
      </c>
      <c r="N8" s="5" t="s">
        <v>11</v>
      </c>
      <c r="O8" s="6" t="s">
        <v>12</v>
      </c>
    </row>
    <row r="9" spans="2:15" ht="11.25">
      <c r="B9" s="5"/>
      <c r="C9" s="5"/>
      <c r="D9" s="5"/>
      <c r="E9" s="5"/>
      <c r="F9" s="5"/>
      <c r="G9" s="27"/>
      <c r="H9" s="5"/>
      <c r="I9" s="5"/>
      <c r="J9" s="5"/>
      <c r="K9" s="5"/>
      <c r="L9" s="5"/>
      <c r="M9" s="5"/>
      <c r="N9" s="5"/>
      <c r="O9" s="4"/>
    </row>
    <row r="10" spans="2:15" ht="11.25">
      <c r="B10" s="4" t="s">
        <v>39</v>
      </c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1.25">
      <c r="B11" s="5" t="s">
        <v>13</v>
      </c>
      <c r="C11" s="5">
        <v>-29883.86</v>
      </c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5">
        <f>C11+D11+E11+F11+G11+H11+I11+J11+K11+L11+M11+N11</f>
        <v>-29883.86</v>
      </c>
    </row>
    <row r="12" spans="2:15" s="3" customFormat="1" ht="11.25">
      <c r="B12" s="4" t="s">
        <v>14</v>
      </c>
      <c r="C12" s="4">
        <f>C11</f>
        <v>-29883.86</v>
      </c>
      <c r="D12" s="4">
        <f aca="true" t="shared" si="0" ref="D12:I12">C54</f>
        <v>-30413.860000000004</v>
      </c>
      <c r="E12" s="4">
        <f t="shared" si="0"/>
        <v>-31657.16</v>
      </c>
      <c r="F12" s="4">
        <f t="shared" si="0"/>
        <v>-7741.649999999998</v>
      </c>
      <c r="G12" s="28">
        <f t="shared" si="0"/>
        <v>-7700.829999999998</v>
      </c>
      <c r="H12" s="4">
        <f t="shared" si="0"/>
        <v>-2732.019999999997</v>
      </c>
      <c r="I12" s="4">
        <f t="shared" si="0"/>
        <v>-2566.369999999999</v>
      </c>
      <c r="J12" s="4">
        <f>I54</f>
        <v>-6348.759999999998</v>
      </c>
      <c r="K12" s="4">
        <f>J54</f>
        <v>-845.0799999999999</v>
      </c>
      <c r="L12" s="4">
        <f>K54</f>
        <v>-1970.3600000000006</v>
      </c>
      <c r="M12" s="4">
        <f>L54</f>
        <v>-3437.920000000002</v>
      </c>
      <c r="N12" s="4">
        <f>M54</f>
        <v>-3437.920000000002</v>
      </c>
      <c r="O12" s="4">
        <f>O11</f>
        <v>-29883.86</v>
      </c>
    </row>
    <row r="13" spans="2:15" ht="11.25">
      <c r="B13" s="5"/>
      <c r="C13" s="5"/>
      <c r="D13" s="5"/>
      <c r="E13" s="5"/>
      <c r="F13" s="5"/>
      <c r="G13" s="27"/>
      <c r="H13" s="5"/>
      <c r="I13" s="5"/>
      <c r="J13" s="5"/>
      <c r="K13" s="5"/>
      <c r="L13" s="5"/>
      <c r="M13" s="5"/>
      <c r="N13" s="5"/>
      <c r="O13" s="4"/>
    </row>
    <row r="14" spans="2:15" ht="11.25">
      <c r="B14" s="5"/>
      <c r="C14" s="5"/>
      <c r="D14" s="5"/>
      <c r="E14" s="5"/>
      <c r="F14" s="5"/>
      <c r="G14" s="27"/>
      <c r="H14" s="5"/>
      <c r="I14" s="5"/>
      <c r="J14" s="5"/>
      <c r="K14" s="5"/>
      <c r="L14" s="5"/>
      <c r="M14" s="5"/>
      <c r="N14" s="5"/>
      <c r="O14" s="4"/>
    </row>
    <row r="15" spans="2:25" s="10" customFormat="1" ht="11.25">
      <c r="B15" s="8" t="s">
        <v>15</v>
      </c>
      <c r="C15" s="9"/>
      <c r="D15" s="9"/>
      <c r="E15" s="9"/>
      <c r="F15" s="9"/>
      <c r="G15" s="29"/>
      <c r="H15" s="9"/>
      <c r="I15" s="9"/>
      <c r="J15" s="9"/>
      <c r="K15" s="9"/>
      <c r="L15" s="9"/>
      <c r="M15" s="9"/>
      <c r="N15" s="9"/>
      <c r="O15" s="8"/>
      <c r="Y15" s="11"/>
    </row>
    <row r="16" spans="2:25" s="10" customFormat="1" ht="11.25">
      <c r="B16" s="9" t="s">
        <v>13</v>
      </c>
      <c r="C16" s="9">
        <v>16519.84</v>
      </c>
      <c r="D16" s="9">
        <v>16519.84</v>
      </c>
      <c r="E16" s="9">
        <v>16519.84</v>
      </c>
      <c r="F16" s="9">
        <v>16519.84</v>
      </c>
      <c r="G16" s="9">
        <v>16519.84</v>
      </c>
      <c r="H16" s="9">
        <v>16519.84</v>
      </c>
      <c r="I16" s="9">
        <v>16519.84</v>
      </c>
      <c r="J16" s="9">
        <v>16519.84</v>
      </c>
      <c r="K16" s="9">
        <v>16519.84</v>
      </c>
      <c r="L16" s="9">
        <v>16519.84</v>
      </c>
      <c r="M16" s="9"/>
      <c r="N16" s="9"/>
      <c r="O16" s="9">
        <f>C16+D16+E16+F16+G16+H16+I16+J16+K16+L16+M16+N16</f>
        <v>165198.4</v>
      </c>
      <c r="Y16" s="11"/>
    </row>
    <row r="17" spans="2:25" s="10" customFormat="1" ht="11.25">
      <c r="B17" s="16"/>
      <c r="C17" s="9"/>
      <c r="D17" s="9"/>
      <c r="E17" s="9"/>
      <c r="F17" s="9"/>
      <c r="G17" s="29"/>
      <c r="H17" s="9"/>
      <c r="I17" s="9"/>
      <c r="J17" s="9"/>
      <c r="K17" s="9"/>
      <c r="L17" s="9"/>
      <c r="M17" s="9"/>
      <c r="N17" s="9"/>
      <c r="O17" s="9"/>
      <c r="Y17" s="11"/>
    </row>
    <row r="18" spans="2:15" s="11" customFormat="1" ht="11.25">
      <c r="B18" s="8" t="s">
        <v>14</v>
      </c>
      <c r="C18" s="8">
        <f aca="true" t="shared" si="1" ref="C18:N18">SUM(C14:C16)</f>
        <v>16519.84</v>
      </c>
      <c r="D18" s="8">
        <f t="shared" si="1"/>
        <v>16519.84</v>
      </c>
      <c r="E18" s="8">
        <f t="shared" si="1"/>
        <v>16519.84</v>
      </c>
      <c r="F18" s="8">
        <f t="shared" si="1"/>
        <v>16519.84</v>
      </c>
      <c r="G18" s="30">
        <f t="shared" si="1"/>
        <v>16519.84</v>
      </c>
      <c r="H18" s="8">
        <f t="shared" si="1"/>
        <v>16519.84</v>
      </c>
      <c r="I18" s="8">
        <f t="shared" si="1"/>
        <v>16519.84</v>
      </c>
      <c r="J18" s="8">
        <f t="shared" si="1"/>
        <v>16519.84</v>
      </c>
      <c r="K18" s="8">
        <f t="shared" si="1"/>
        <v>16519.84</v>
      </c>
      <c r="L18" s="8">
        <f t="shared" si="1"/>
        <v>16519.84</v>
      </c>
      <c r="M18" s="8">
        <f t="shared" si="1"/>
        <v>0</v>
      </c>
      <c r="N18" s="8">
        <f t="shared" si="1"/>
        <v>0</v>
      </c>
      <c r="O18" s="8">
        <f>C18+D18+E18+F18+G18+H18+I18+J18+K18+L18+M18+N18</f>
        <v>165198.4</v>
      </c>
    </row>
    <row r="19" spans="2:15" ht="11.25">
      <c r="B19" s="5"/>
      <c r="C19" s="5"/>
      <c r="D19" s="5"/>
      <c r="E19" s="5"/>
      <c r="F19" s="5"/>
      <c r="G19" s="27"/>
      <c r="H19" s="5"/>
      <c r="I19" s="5"/>
      <c r="J19" s="5"/>
      <c r="K19" s="5"/>
      <c r="L19" s="5"/>
      <c r="M19" s="5"/>
      <c r="N19" s="5"/>
      <c r="O19" s="4"/>
    </row>
    <row r="20" spans="2:25" s="25" customFormat="1" ht="11.25">
      <c r="B20" s="23" t="s">
        <v>16</v>
      </c>
      <c r="C20" s="24"/>
      <c r="D20" s="24"/>
      <c r="E20" s="24"/>
      <c r="F20" s="24"/>
      <c r="G20" s="31"/>
      <c r="H20" s="24"/>
      <c r="I20" s="24"/>
      <c r="J20" s="24"/>
      <c r="K20" s="24"/>
      <c r="L20" s="24"/>
      <c r="M20" s="24"/>
      <c r="N20" s="24"/>
      <c r="O20" s="23"/>
      <c r="Y20" s="26"/>
    </row>
    <row r="21" spans="2:25" s="25" customFormat="1" ht="11.25">
      <c r="B21" s="24" t="s">
        <v>13</v>
      </c>
      <c r="C21" s="24">
        <f>11270.05+1000+540.75</f>
        <v>12810.8</v>
      </c>
      <c r="D21" s="24">
        <f>15664.26+540.75+390</f>
        <v>16595.010000000002</v>
      </c>
      <c r="E21" s="24">
        <f>44175.54+1000</f>
        <v>45175.54</v>
      </c>
      <c r="F21" s="24">
        <f>11071.3+1000</f>
        <v>12071.3</v>
      </c>
      <c r="G21" s="31">
        <f>19321.47+1000</f>
        <v>20321.47</v>
      </c>
      <c r="H21" s="24">
        <v>17614.14</v>
      </c>
      <c r="I21" s="24">
        <f>10926.04+2000</f>
        <v>12926.04</v>
      </c>
      <c r="J21" s="24">
        <f>17089.78+1963.04+1000</f>
        <v>20052.82</v>
      </c>
      <c r="K21" s="24">
        <f>11304.03+1000</f>
        <v>12304.03</v>
      </c>
      <c r="L21" s="24">
        <f>12972.23+2000+1000</f>
        <v>15972.23</v>
      </c>
      <c r="M21" s="24"/>
      <c r="N21" s="24"/>
      <c r="O21" s="24">
        <f>C21+D21+E21+F21+G21+H21+I21+J21+K21+L21+M21+N21-1245.52</f>
        <v>184597.86000000004</v>
      </c>
      <c r="Y21" s="26"/>
    </row>
    <row r="22" spans="2:25" s="25" customFormat="1" ht="11.25">
      <c r="B22" s="16"/>
      <c r="C22" s="24"/>
      <c r="D22" s="24"/>
      <c r="E22" s="24"/>
      <c r="F22" s="24"/>
      <c r="G22" s="31"/>
      <c r="H22" s="24"/>
      <c r="I22" s="24"/>
      <c r="J22" s="24"/>
      <c r="K22" s="24"/>
      <c r="L22" s="24"/>
      <c r="M22" s="24"/>
      <c r="N22" s="24"/>
      <c r="O22" s="24"/>
      <c r="Y22" s="26"/>
    </row>
    <row r="23" spans="2:15" s="26" customFormat="1" ht="11.25">
      <c r="B23" s="23" t="s">
        <v>14</v>
      </c>
      <c r="C23" s="23">
        <f aca="true" t="shared" si="2" ref="C23:O23">SUM(C21:C22)</f>
        <v>12810.8</v>
      </c>
      <c r="D23" s="23">
        <f t="shared" si="2"/>
        <v>16595.010000000002</v>
      </c>
      <c r="E23" s="23">
        <f t="shared" si="2"/>
        <v>45175.54</v>
      </c>
      <c r="F23" s="23">
        <f t="shared" si="2"/>
        <v>12071.3</v>
      </c>
      <c r="G23" s="32">
        <f t="shared" si="2"/>
        <v>20321.47</v>
      </c>
      <c r="H23" s="23">
        <f t="shared" si="2"/>
        <v>17614.14</v>
      </c>
      <c r="I23" s="23">
        <f t="shared" si="2"/>
        <v>12926.04</v>
      </c>
      <c r="J23" s="23">
        <f t="shared" si="2"/>
        <v>20052.82</v>
      </c>
      <c r="K23" s="23">
        <f t="shared" si="2"/>
        <v>12304.03</v>
      </c>
      <c r="L23" s="23">
        <f t="shared" si="2"/>
        <v>15972.23</v>
      </c>
      <c r="M23" s="23">
        <f t="shared" si="2"/>
        <v>0</v>
      </c>
      <c r="N23" s="23">
        <f t="shared" si="2"/>
        <v>0</v>
      </c>
      <c r="O23" s="23">
        <f t="shared" si="2"/>
        <v>184597.86000000004</v>
      </c>
    </row>
    <row r="24" spans="2:15" ht="11.25">
      <c r="B24" s="5"/>
      <c r="C24" s="5"/>
      <c r="D24" s="5"/>
      <c r="E24" s="5"/>
      <c r="F24" s="5"/>
      <c r="G24" s="27"/>
      <c r="H24" s="5"/>
      <c r="I24" s="5"/>
      <c r="J24" s="5"/>
      <c r="K24" s="5"/>
      <c r="L24" s="5"/>
      <c r="M24" s="5"/>
      <c r="N24" s="5"/>
      <c r="O24" s="4"/>
    </row>
    <row r="25" spans="2:15" ht="11.25">
      <c r="B25" s="4" t="s">
        <v>17</v>
      </c>
      <c r="C25" s="12">
        <f aca="true" t="shared" si="3" ref="C25:O25">C23/C18</f>
        <v>0.7754796656626214</v>
      </c>
      <c r="D25" s="12">
        <f t="shared" si="3"/>
        <v>1.0045502862013194</v>
      </c>
      <c r="E25" s="12">
        <f t="shared" si="3"/>
        <v>2.734623337756298</v>
      </c>
      <c r="F25" s="12">
        <f t="shared" si="3"/>
        <v>0.7307153095913761</v>
      </c>
      <c r="G25" s="33">
        <f t="shared" si="3"/>
        <v>1.2301251101705586</v>
      </c>
      <c r="H25" s="12">
        <f t="shared" si="3"/>
        <v>1.066241561661614</v>
      </c>
      <c r="I25" s="12">
        <f t="shared" si="3"/>
        <v>0.7824555201503163</v>
      </c>
      <c r="J25" s="12">
        <f t="shared" si="3"/>
        <v>1.2138628461292602</v>
      </c>
      <c r="K25" s="12">
        <f t="shared" si="3"/>
        <v>0.7448032184331084</v>
      </c>
      <c r="L25" s="12">
        <f t="shared" si="3"/>
        <v>0.9668513738631851</v>
      </c>
      <c r="M25" s="12" t="e">
        <f t="shared" si="3"/>
        <v>#DIV/0!</v>
      </c>
      <c r="N25" s="12" t="e">
        <f t="shared" si="3"/>
        <v>#DIV/0!</v>
      </c>
      <c r="O25" s="13">
        <f t="shared" si="3"/>
        <v>1.1174312826274349</v>
      </c>
    </row>
    <row r="26" spans="2:15" ht="11.25">
      <c r="B26" s="4"/>
      <c r="C26" s="12"/>
      <c r="D26" s="12"/>
      <c r="E26" s="12"/>
      <c r="F26" s="12"/>
      <c r="G26" s="33"/>
      <c r="H26" s="12"/>
      <c r="I26" s="12"/>
      <c r="J26" s="12"/>
      <c r="K26" s="12"/>
      <c r="L26" s="12"/>
      <c r="M26" s="12"/>
      <c r="N26" s="12"/>
      <c r="O26" s="14"/>
    </row>
    <row r="27" spans="2:15" ht="11.25">
      <c r="B27" s="4" t="s">
        <v>18</v>
      </c>
      <c r="C27" s="7">
        <f aca="true" t="shared" si="4" ref="C27:O27">C18-C23</f>
        <v>3709.040000000001</v>
      </c>
      <c r="D27" s="7">
        <f t="shared" si="4"/>
        <v>-75.17000000000189</v>
      </c>
      <c r="E27" s="7">
        <f t="shared" si="4"/>
        <v>-28655.7</v>
      </c>
      <c r="F27" s="7">
        <f t="shared" si="4"/>
        <v>4448.540000000001</v>
      </c>
      <c r="G27" s="34">
        <f t="shared" si="4"/>
        <v>-3801.630000000001</v>
      </c>
      <c r="H27" s="7">
        <f t="shared" si="4"/>
        <v>-1094.2999999999993</v>
      </c>
      <c r="I27" s="7">
        <f t="shared" si="4"/>
        <v>3593.7999999999993</v>
      </c>
      <c r="J27" s="7">
        <f t="shared" si="4"/>
        <v>-3532.9799999999996</v>
      </c>
      <c r="K27" s="7">
        <f t="shared" si="4"/>
        <v>4215.8099999999995</v>
      </c>
      <c r="L27" s="7">
        <f t="shared" si="4"/>
        <v>547.6100000000006</v>
      </c>
      <c r="M27" s="7">
        <f t="shared" si="4"/>
        <v>0</v>
      </c>
      <c r="N27" s="7">
        <f t="shared" si="4"/>
        <v>0</v>
      </c>
      <c r="O27" s="7">
        <f t="shared" si="4"/>
        <v>-19399.46000000005</v>
      </c>
    </row>
    <row r="28" spans="2:15" ht="11.25">
      <c r="B28" s="5"/>
      <c r="C28" s="5"/>
      <c r="D28" s="5"/>
      <c r="E28" s="5"/>
      <c r="F28" s="5"/>
      <c r="G28" s="27"/>
      <c r="H28" s="5"/>
      <c r="I28" s="5"/>
      <c r="J28" s="5"/>
      <c r="K28" s="5"/>
      <c r="L28" s="5"/>
      <c r="M28" s="5"/>
      <c r="N28" s="5"/>
      <c r="O28" s="4"/>
    </row>
    <row r="29" spans="2:25" s="17" customFormat="1" ht="11.25">
      <c r="B29" s="15" t="s">
        <v>19</v>
      </c>
      <c r="C29" s="16"/>
      <c r="D29" s="16"/>
      <c r="E29" s="16"/>
      <c r="F29" s="16"/>
      <c r="G29" s="35"/>
      <c r="H29" s="16"/>
      <c r="I29" s="16"/>
      <c r="J29" s="16"/>
      <c r="K29" s="16"/>
      <c r="L29" s="16"/>
      <c r="M29" s="16"/>
      <c r="N29" s="16"/>
      <c r="O29" s="15"/>
      <c r="Y29" s="18"/>
    </row>
    <row r="30" spans="2:25" s="17" customFormat="1" ht="11.25">
      <c r="B30" s="16"/>
      <c r="C30" s="16"/>
      <c r="D30" s="16"/>
      <c r="E30" s="16"/>
      <c r="F30" s="16"/>
      <c r="G30" s="35"/>
      <c r="H30" s="16"/>
      <c r="I30" s="16"/>
      <c r="J30" s="16"/>
      <c r="K30" s="16"/>
      <c r="L30" s="16"/>
      <c r="M30" s="16"/>
      <c r="N30" s="16"/>
      <c r="O30" s="15"/>
      <c r="Y30" s="18"/>
    </row>
    <row r="31" spans="2:25" s="17" customFormat="1" ht="11.25">
      <c r="B31" s="16" t="s">
        <v>20</v>
      </c>
      <c r="C31" s="16">
        <v>111.1</v>
      </c>
      <c r="D31" s="16">
        <v>288.69</v>
      </c>
      <c r="E31" s="16">
        <v>397.4</v>
      </c>
      <c r="F31" s="16">
        <v>402.62</v>
      </c>
      <c r="G31" s="35">
        <v>653.08</v>
      </c>
      <c r="H31" s="16">
        <v>715.11</v>
      </c>
      <c r="I31" s="16">
        <v>437.11</v>
      </c>
      <c r="J31" s="16">
        <v>301.54</v>
      </c>
      <c r="K31" s="16">
        <v>336.54</v>
      </c>
      <c r="L31" s="16">
        <v>818.3</v>
      </c>
      <c r="M31" s="16"/>
      <c r="N31" s="16"/>
      <c r="O31" s="16">
        <f>C31+D31+E31+F31+G31+H31+I31+J31+K31+L31+M31+N31</f>
        <v>4461.49</v>
      </c>
      <c r="Y31" s="18"/>
    </row>
    <row r="32" spans="2:25" s="17" customFormat="1" ht="11.25">
      <c r="B32" s="16" t="s">
        <v>32</v>
      </c>
      <c r="C32" s="16">
        <f>5523.26+135.04</f>
        <v>5658.3</v>
      </c>
      <c r="D32" s="16">
        <f>5388.23+368.12</f>
        <v>5756.349999999999</v>
      </c>
      <c r="E32" s="16">
        <v>5523.26</v>
      </c>
      <c r="F32" s="16">
        <v>5523.26</v>
      </c>
      <c r="G32" s="35">
        <v>5523.26</v>
      </c>
      <c r="H32" s="16">
        <v>5523.26</v>
      </c>
      <c r="I32" s="16">
        <v>5523.26</v>
      </c>
      <c r="J32" s="16">
        <v>5523.26</v>
      </c>
      <c r="K32" s="16">
        <v>5523.26</v>
      </c>
      <c r="L32" s="16">
        <v>5523.26</v>
      </c>
      <c r="M32" s="16"/>
      <c r="N32" s="16"/>
      <c r="O32" s="16">
        <f aca="true" t="shared" si="5" ref="O32:O51">C32+D32+E32+F32+G32+H32+I32+J32+K32+L32+M32+N32</f>
        <v>55600.73000000001</v>
      </c>
      <c r="Y32" s="18"/>
    </row>
    <row r="33" spans="2:25" s="17" customFormat="1" ht="11.25">
      <c r="B33" s="16" t="s">
        <v>26</v>
      </c>
      <c r="C33" s="16">
        <f>1058.72+453.83</f>
        <v>1512.55</v>
      </c>
      <c r="D33" s="16">
        <f>1627.1+549.38</f>
        <v>2176.48</v>
      </c>
      <c r="E33" s="16">
        <f>1627.1+549.38</f>
        <v>2176.48</v>
      </c>
      <c r="F33" s="16">
        <f>712.28+810.22+549.38</f>
        <v>2071.88</v>
      </c>
      <c r="G33" s="35">
        <f>816.88+1627.1</f>
        <v>2443.98</v>
      </c>
      <c r="H33" s="16">
        <f>1627.1+549.38</f>
        <v>2176.48</v>
      </c>
      <c r="I33" s="16">
        <f>1627.1+549.38</f>
        <v>2176.48</v>
      </c>
      <c r="J33" s="16">
        <f>1627.1+549.38</f>
        <v>2176.48</v>
      </c>
      <c r="K33" s="16">
        <f>1627.1+549.38</f>
        <v>2176.48</v>
      </c>
      <c r="L33" s="16">
        <f>1627.1+549.38</f>
        <v>2176.48</v>
      </c>
      <c r="M33" s="16"/>
      <c r="N33" s="16"/>
      <c r="O33" s="16">
        <f t="shared" si="5"/>
        <v>21263.77</v>
      </c>
      <c r="Y33" s="18"/>
    </row>
    <row r="34" spans="2:25" s="17" customFormat="1" ht="11.25">
      <c r="B34" s="16" t="s">
        <v>27</v>
      </c>
      <c r="C34" s="16">
        <f>405.89+2602.81</f>
        <v>3008.7</v>
      </c>
      <c r="D34" s="16">
        <f>270.07+2602.81</f>
        <v>2872.88</v>
      </c>
      <c r="E34" s="16">
        <v>2602.81</v>
      </c>
      <c r="F34" s="16">
        <v>810.22</v>
      </c>
      <c r="G34" s="35">
        <f>1792.59+1350.37+549.38</f>
        <v>3692.34</v>
      </c>
      <c r="H34" s="16">
        <f>1252.45+1350.37</f>
        <v>2602.8199999999997</v>
      </c>
      <c r="I34" s="16">
        <f>1252.45+1350.37</f>
        <v>2602.8199999999997</v>
      </c>
      <c r="J34" s="16">
        <f>2895.89+65.55</f>
        <v>2961.44</v>
      </c>
      <c r="K34" s="16">
        <f>2895.89+65.55</f>
        <v>2961.44</v>
      </c>
      <c r="L34" s="16">
        <f>2895.89+65.55+1252.45</f>
        <v>4213.89</v>
      </c>
      <c r="M34" s="16"/>
      <c r="N34" s="16"/>
      <c r="O34" s="16">
        <f t="shared" si="5"/>
        <v>28329.359999999993</v>
      </c>
      <c r="Y34" s="18"/>
    </row>
    <row r="35" spans="2:25" s="17" customFormat="1" ht="11.25">
      <c r="B35" s="16" t="s">
        <v>23</v>
      </c>
      <c r="C35" s="16">
        <v>178.27</v>
      </c>
      <c r="D35" s="16">
        <v>491.08</v>
      </c>
      <c r="E35" s="16">
        <v>3775.55</v>
      </c>
      <c r="F35" s="16">
        <v>591.76</v>
      </c>
      <c r="G35" s="35">
        <v>826.88</v>
      </c>
      <c r="H35" s="16">
        <v>4440.9</v>
      </c>
      <c r="I35" s="16">
        <v>1000</v>
      </c>
      <c r="J35" s="16"/>
      <c r="K35" s="16"/>
      <c r="L35" s="16"/>
      <c r="M35" s="16"/>
      <c r="N35" s="16"/>
      <c r="O35" s="16">
        <f t="shared" si="5"/>
        <v>11304.44</v>
      </c>
      <c r="Y35" s="18"/>
    </row>
    <row r="36" spans="2:25" s="17" customFormat="1" ht="11.25">
      <c r="B36" s="19" t="s">
        <v>28</v>
      </c>
      <c r="C36" s="16">
        <v>15.65</v>
      </c>
      <c r="D36" s="16">
        <v>15.65</v>
      </c>
      <c r="E36" s="16">
        <v>15.65</v>
      </c>
      <c r="F36" s="16">
        <v>15.65</v>
      </c>
      <c r="G36" s="35"/>
      <c r="H36" s="16"/>
      <c r="I36" s="16">
        <v>15.65</v>
      </c>
      <c r="J36" s="16">
        <v>15.65</v>
      </c>
      <c r="K36" s="16">
        <v>15.65</v>
      </c>
      <c r="L36" s="16">
        <v>15.65</v>
      </c>
      <c r="M36" s="16"/>
      <c r="N36" s="16"/>
      <c r="O36" s="16">
        <f t="shared" si="5"/>
        <v>125.20000000000002</v>
      </c>
      <c r="Y36" s="18"/>
    </row>
    <row r="37" spans="2:25" s="17" customFormat="1" ht="11.25">
      <c r="B37" s="16" t="s">
        <v>31</v>
      </c>
      <c r="C37" s="16">
        <f>855.08+108.28</f>
        <v>963.36</v>
      </c>
      <c r="D37" s="16">
        <f>595.24+368.12</f>
        <v>963.36</v>
      </c>
      <c r="E37" s="16"/>
      <c r="F37" s="16">
        <f>677.36+286</f>
        <v>963.36</v>
      </c>
      <c r="G37" s="35">
        <f>678.32+285.04</f>
        <v>963.3600000000001</v>
      </c>
      <c r="H37" s="16"/>
      <c r="I37" s="16">
        <f>664.84+640.44+298.52+322.92</f>
        <v>1926.7200000000003</v>
      </c>
      <c r="J37" s="16">
        <f>711.29+252.07</f>
        <v>963.3599999999999</v>
      </c>
      <c r="K37" s="16">
        <f>744.51+218.85</f>
        <v>963.36</v>
      </c>
      <c r="L37" s="16">
        <f>688.61+274.75</f>
        <v>963.36</v>
      </c>
      <c r="M37" s="16"/>
      <c r="N37" s="16"/>
      <c r="O37" s="16">
        <f t="shared" si="5"/>
        <v>8670.24</v>
      </c>
      <c r="Y37" s="18"/>
    </row>
    <row r="38" spans="2:25" s="17" customFormat="1" ht="11.25">
      <c r="B38" s="16" t="s">
        <v>30</v>
      </c>
      <c r="C38" s="16">
        <v>249.76</v>
      </c>
      <c r="D38" s="16">
        <v>249.76</v>
      </c>
      <c r="E38" s="16">
        <v>249.76</v>
      </c>
      <c r="F38" s="16">
        <v>249.76</v>
      </c>
      <c r="G38" s="35">
        <v>249.76</v>
      </c>
      <c r="H38" s="16">
        <v>249.76</v>
      </c>
      <c r="I38" s="16">
        <v>249.76</v>
      </c>
      <c r="J38" s="16">
        <v>249.76</v>
      </c>
      <c r="K38" s="16">
        <v>249.76</v>
      </c>
      <c r="L38" s="16">
        <v>249.76</v>
      </c>
      <c r="M38" s="16"/>
      <c r="N38" s="16"/>
      <c r="O38" s="16">
        <f t="shared" si="5"/>
        <v>2497.6000000000004</v>
      </c>
      <c r="Y38" s="18"/>
    </row>
    <row r="39" spans="2:25" s="17" customFormat="1" ht="11.25">
      <c r="B39" s="16" t="s">
        <v>24</v>
      </c>
      <c r="C39" s="16">
        <v>102.36</v>
      </c>
      <c r="D39" s="16">
        <v>352.48</v>
      </c>
      <c r="E39" s="16">
        <v>117.65</v>
      </c>
      <c r="F39" s="16">
        <v>401.97</v>
      </c>
      <c r="G39" s="35"/>
      <c r="H39" s="16">
        <v>201.65</v>
      </c>
      <c r="I39" s="16">
        <v>466.28</v>
      </c>
      <c r="J39" s="16">
        <v>374.82</v>
      </c>
      <c r="K39" s="16">
        <v>202.82</v>
      </c>
      <c r="L39" s="16">
        <v>479.09</v>
      </c>
      <c r="M39" s="16"/>
      <c r="N39" s="16"/>
      <c r="O39" s="16">
        <f t="shared" si="5"/>
        <v>2699.1200000000003</v>
      </c>
      <c r="Y39" s="18"/>
    </row>
    <row r="40" spans="2:25" s="17" customFormat="1" ht="11.25">
      <c r="B40" s="16" t="s">
        <v>34</v>
      </c>
      <c r="C40" s="16">
        <v>1000</v>
      </c>
      <c r="D40" s="16">
        <v>390</v>
      </c>
      <c r="E40" s="16">
        <v>1000</v>
      </c>
      <c r="F40" s="16">
        <v>1000</v>
      </c>
      <c r="G40" s="35">
        <v>1000</v>
      </c>
      <c r="H40" s="16"/>
      <c r="I40" s="16">
        <v>2000</v>
      </c>
      <c r="J40" s="16">
        <v>1000</v>
      </c>
      <c r="K40" s="16">
        <v>1000</v>
      </c>
      <c r="L40" s="16">
        <v>1000</v>
      </c>
      <c r="M40" s="16"/>
      <c r="N40" s="16"/>
      <c r="O40" s="16">
        <f t="shared" si="5"/>
        <v>9390</v>
      </c>
      <c r="Y40" s="18"/>
    </row>
    <row r="41" spans="2:25" s="17" customFormat="1" ht="11.25">
      <c r="B41" s="16" t="s">
        <v>35</v>
      </c>
      <c r="C41" s="16"/>
      <c r="D41" s="16"/>
      <c r="E41" s="16"/>
      <c r="F41" s="16"/>
      <c r="G41" s="35"/>
      <c r="H41" s="16">
        <f>310.35+204.28</f>
        <v>514.63</v>
      </c>
      <c r="I41" s="16">
        <v>310.35</v>
      </c>
      <c r="J41" s="16">
        <f>310.35+34.88+16.43</f>
        <v>361.66</v>
      </c>
      <c r="K41" s="16"/>
      <c r="L41" s="16"/>
      <c r="M41" s="16"/>
      <c r="N41" s="16"/>
      <c r="O41" s="16">
        <f t="shared" si="5"/>
        <v>1186.64</v>
      </c>
      <c r="Y41" s="18"/>
    </row>
    <row r="42" spans="2:25" s="17" customFormat="1" ht="11.25">
      <c r="B42" s="16" t="s">
        <v>36</v>
      </c>
      <c r="C42" s="16"/>
      <c r="D42" s="16"/>
      <c r="E42" s="16">
        <v>5401.47</v>
      </c>
      <c r="F42" s="16"/>
      <c r="G42" s="35"/>
      <c r="H42" s="16">
        <v>23.88</v>
      </c>
      <c r="I42" s="16"/>
      <c r="J42" s="16"/>
      <c r="K42" s="16"/>
      <c r="L42" s="16"/>
      <c r="M42" s="16"/>
      <c r="N42" s="16"/>
      <c r="O42" s="16">
        <f t="shared" si="5"/>
        <v>5425.35</v>
      </c>
      <c r="Y42" s="18"/>
    </row>
    <row r="43" spans="2:25" s="17" customFormat="1" ht="11.25">
      <c r="B43" s="16"/>
      <c r="C43" s="16"/>
      <c r="D43" s="16"/>
      <c r="E43" s="16"/>
      <c r="F43" s="16"/>
      <c r="G43" s="35"/>
      <c r="H43" s="16"/>
      <c r="I43" s="16"/>
      <c r="J43" s="16"/>
      <c r="K43" s="16"/>
      <c r="L43" s="16"/>
      <c r="M43" s="16"/>
      <c r="N43" s="16"/>
      <c r="O43" s="16"/>
      <c r="Y43" s="18"/>
    </row>
    <row r="44" spans="2:25" s="17" customFormat="1" ht="11.25">
      <c r="B44" s="41" t="s">
        <v>107</v>
      </c>
      <c r="C44" s="16"/>
      <c r="D44" s="16"/>
      <c r="E44" s="16"/>
      <c r="F44" s="16"/>
      <c r="G44" s="35"/>
      <c r="H44" s="16"/>
      <c r="I44" s="16"/>
      <c r="J44" s="16"/>
      <c r="K44" s="16"/>
      <c r="L44" s="16"/>
      <c r="M44" s="16"/>
      <c r="N44" s="16"/>
      <c r="O44" s="16">
        <v>6316.91</v>
      </c>
      <c r="Y44" s="18"/>
    </row>
    <row r="45" spans="2:25" s="17" customFormat="1" ht="11.25">
      <c r="B45" s="16" t="s">
        <v>47</v>
      </c>
      <c r="C45" s="16"/>
      <c r="D45" s="16">
        <v>3740.83</v>
      </c>
      <c r="E45" s="16"/>
      <c r="F45" s="16"/>
      <c r="G45" s="35"/>
      <c r="H45" s="16"/>
      <c r="I45" s="16"/>
      <c r="J45" s="16"/>
      <c r="K45" s="16"/>
      <c r="L45" s="16"/>
      <c r="M45" s="16"/>
      <c r="N45" s="16"/>
      <c r="O45" s="16">
        <f t="shared" si="5"/>
        <v>3740.83</v>
      </c>
      <c r="Y45" s="18"/>
    </row>
    <row r="46" spans="2:25" s="17" customFormat="1" ht="11.25">
      <c r="B46" s="16" t="s">
        <v>64</v>
      </c>
      <c r="C46" s="16">
        <v>540.75</v>
      </c>
      <c r="D46" s="16">
        <v>540.75</v>
      </c>
      <c r="E46" s="16"/>
      <c r="F46" s="16"/>
      <c r="G46" s="35"/>
      <c r="H46" s="16"/>
      <c r="I46" s="16"/>
      <c r="J46" s="16"/>
      <c r="K46" s="16"/>
      <c r="L46" s="16"/>
      <c r="M46" s="16"/>
      <c r="N46" s="16"/>
      <c r="O46" s="16">
        <f t="shared" si="5"/>
        <v>1081.5</v>
      </c>
      <c r="Y46" s="18"/>
    </row>
    <row r="47" spans="2:25" s="17" customFormat="1" ht="11.25">
      <c r="B47" s="19" t="s">
        <v>74</v>
      </c>
      <c r="C47" s="16"/>
      <c r="D47" s="16"/>
      <c r="E47" s="16"/>
      <c r="F47" s="16"/>
      <c r="G47" s="35"/>
      <c r="H47" s="16">
        <v>1000</v>
      </c>
      <c r="I47" s="16"/>
      <c r="J47" s="16"/>
      <c r="K47" s="16"/>
      <c r="L47" s="16"/>
      <c r="M47" s="16"/>
      <c r="N47" s="16"/>
      <c r="O47" s="16">
        <f t="shared" si="5"/>
        <v>1000</v>
      </c>
      <c r="Y47" s="18"/>
    </row>
    <row r="48" spans="2:25" s="17" customFormat="1" ht="11.25">
      <c r="B48" s="16" t="s">
        <v>70</v>
      </c>
      <c r="C48" s="16"/>
      <c r="D48" s="16"/>
      <c r="E48" s="16"/>
      <c r="F48" s="16"/>
      <c r="G48" s="35"/>
      <c r="H48" s="16"/>
      <c r="I48" s="16"/>
      <c r="J48" s="16">
        <v>621.17</v>
      </c>
      <c r="K48" s="16"/>
      <c r="L48" s="16"/>
      <c r="M48" s="16"/>
      <c r="N48" s="16"/>
      <c r="O48" s="16">
        <f t="shared" si="5"/>
        <v>621.17</v>
      </c>
      <c r="Y48" s="18"/>
    </row>
    <row r="49" spans="2:25" s="17" customFormat="1" ht="11.25">
      <c r="B49" s="16" t="s">
        <v>103</v>
      </c>
      <c r="C49" s="16"/>
      <c r="D49" s="16"/>
      <c r="E49" s="16"/>
      <c r="F49" s="16"/>
      <c r="G49" s="35"/>
      <c r="H49" s="16"/>
      <c r="I49" s="16"/>
      <c r="J49" s="16"/>
      <c r="K49" s="16"/>
      <c r="L49" s="16">
        <v>2000</v>
      </c>
      <c r="M49" s="16"/>
      <c r="N49" s="16"/>
      <c r="O49" s="16">
        <f t="shared" si="5"/>
        <v>2000</v>
      </c>
      <c r="Y49" s="18"/>
    </row>
    <row r="50" spans="2:25" s="17" customFormat="1" ht="11.25">
      <c r="B50" s="16"/>
      <c r="C50" s="16"/>
      <c r="D50" s="16"/>
      <c r="E50" s="16"/>
      <c r="F50" s="16"/>
      <c r="G50" s="35"/>
      <c r="H50" s="16"/>
      <c r="I50" s="16"/>
      <c r="J50" s="16"/>
      <c r="K50" s="16"/>
      <c r="L50" s="16"/>
      <c r="M50" s="16"/>
      <c r="N50" s="16"/>
      <c r="O50" s="16">
        <f t="shared" si="5"/>
        <v>0</v>
      </c>
      <c r="Y50" s="18"/>
    </row>
    <row r="51" spans="2:25" s="17" customFormat="1" ht="11.25">
      <c r="B51" s="16"/>
      <c r="C51" s="16"/>
      <c r="D51" s="16"/>
      <c r="E51" s="16"/>
      <c r="F51" s="16"/>
      <c r="G51" s="35"/>
      <c r="H51" s="16"/>
      <c r="I51" s="16"/>
      <c r="J51" s="16"/>
      <c r="K51" s="16"/>
      <c r="L51" s="16"/>
      <c r="M51" s="16"/>
      <c r="N51" s="16"/>
      <c r="O51" s="16">
        <f t="shared" si="5"/>
        <v>0</v>
      </c>
      <c r="Y51" s="18"/>
    </row>
    <row r="52" spans="2:25" s="17" customFormat="1" ht="11.25">
      <c r="B52" s="15" t="s">
        <v>14</v>
      </c>
      <c r="C52" s="15">
        <f aca="true" t="shared" si="6" ref="C52:O52">SUM(C31:C51)</f>
        <v>13340.800000000003</v>
      </c>
      <c r="D52" s="15">
        <f t="shared" si="6"/>
        <v>17838.309999999998</v>
      </c>
      <c r="E52" s="15">
        <f t="shared" si="6"/>
        <v>21260.03</v>
      </c>
      <c r="F52" s="15">
        <f t="shared" si="6"/>
        <v>12030.48</v>
      </c>
      <c r="G52" s="36">
        <f t="shared" si="6"/>
        <v>15352.66</v>
      </c>
      <c r="H52" s="15">
        <f t="shared" si="6"/>
        <v>17448.49</v>
      </c>
      <c r="I52" s="15">
        <f t="shared" si="6"/>
        <v>16708.43</v>
      </c>
      <c r="J52" s="15">
        <f t="shared" si="6"/>
        <v>14549.140000000001</v>
      </c>
      <c r="K52" s="15">
        <f t="shared" si="6"/>
        <v>13429.310000000001</v>
      </c>
      <c r="L52" s="15">
        <f t="shared" si="6"/>
        <v>17439.79</v>
      </c>
      <c r="M52" s="15">
        <f t="shared" si="6"/>
        <v>0</v>
      </c>
      <c r="N52" s="15">
        <f t="shared" si="6"/>
        <v>0</v>
      </c>
      <c r="O52" s="15">
        <f t="shared" si="6"/>
        <v>165714.35000000003</v>
      </c>
      <c r="Y52" s="18"/>
    </row>
    <row r="53" ht="11.25">
      <c r="G53" s="37"/>
    </row>
    <row r="54" spans="2:15" ht="11.25">
      <c r="B54" s="20" t="s">
        <v>109</v>
      </c>
      <c r="C54" s="21">
        <f aca="true" t="shared" si="7" ref="C54:O54">C12+C23-C52</f>
        <v>-30413.860000000004</v>
      </c>
      <c r="D54" s="21">
        <f t="shared" si="7"/>
        <v>-31657.16</v>
      </c>
      <c r="E54" s="21">
        <f t="shared" si="7"/>
        <v>-7741.649999999998</v>
      </c>
      <c r="F54" s="21">
        <f t="shared" si="7"/>
        <v>-7700.829999999998</v>
      </c>
      <c r="G54" s="38">
        <f t="shared" si="7"/>
        <v>-2732.019999999997</v>
      </c>
      <c r="H54" s="21">
        <f t="shared" si="7"/>
        <v>-2566.369999999999</v>
      </c>
      <c r="I54" s="21">
        <f t="shared" si="7"/>
        <v>-6348.759999999998</v>
      </c>
      <c r="J54" s="21">
        <f t="shared" si="7"/>
        <v>-845.0799999999999</v>
      </c>
      <c r="K54" s="21">
        <f t="shared" si="7"/>
        <v>-1970.3600000000006</v>
      </c>
      <c r="L54" s="38">
        <f t="shared" si="7"/>
        <v>-3437.920000000002</v>
      </c>
      <c r="M54" s="21">
        <f t="shared" si="7"/>
        <v>-3437.920000000002</v>
      </c>
      <c r="N54" s="21">
        <f t="shared" si="7"/>
        <v>-3437.920000000002</v>
      </c>
      <c r="O54" s="42">
        <f t="shared" si="7"/>
        <v>-11000.349999999977</v>
      </c>
    </row>
    <row r="55" spans="2:15" s="3" customFormat="1" ht="11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ht="11.25">
      <c r="B56" s="2" t="s">
        <v>21</v>
      </c>
    </row>
    <row r="57" ht="11.25">
      <c r="B57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Y62"/>
  <sheetViews>
    <sheetView zoomScale="90" zoomScaleNormal="90" zoomScalePageLayoutView="0" workbookViewId="0" topLeftCell="A1">
      <pane xSplit="2" ySplit="8" topLeftCell="O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59" sqref="O59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9.87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2">
      <c r="B1" s="44" t="s">
        <v>105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2:16" ht="12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2:16" ht="12">
      <c r="B3" s="45" t="s">
        <v>106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"/>
    </row>
    <row r="4" spans="2:16" ht="12">
      <c r="B4" s="45" t="s">
        <v>117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"/>
    </row>
    <row r="5" ht="11.25">
      <c r="P5" s="1"/>
    </row>
    <row r="7" spans="2:15" ht="11.25">
      <c r="B7" s="6" t="s">
        <v>45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1.25">
      <c r="B8" s="5"/>
      <c r="C8" s="5" t="s">
        <v>0</v>
      </c>
      <c r="D8" s="5" t="s">
        <v>1</v>
      </c>
      <c r="E8" s="5" t="s">
        <v>2</v>
      </c>
      <c r="F8" s="5" t="s">
        <v>3</v>
      </c>
      <c r="G8" s="27" t="s">
        <v>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10</v>
      </c>
      <c r="N8" s="5" t="s">
        <v>11</v>
      </c>
      <c r="O8" s="6" t="s">
        <v>12</v>
      </c>
    </row>
    <row r="9" spans="2:15" ht="11.25">
      <c r="B9" s="5"/>
      <c r="C9" s="5"/>
      <c r="D9" s="5"/>
      <c r="E9" s="5"/>
      <c r="F9" s="5"/>
      <c r="G9" s="27"/>
      <c r="H9" s="5"/>
      <c r="I9" s="5"/>
      <c r="J9" s="5"/>
      <c r="K9" s="5"/>
      <c r="L9" s="5"/>
      <c r="M9" s="5"/>
      <c r="N9" s="5"/>
      <c r="O9" s="4"/>
    </row>
    <row r="10" spans="2:15" ht="11.25">
      <c r="B10" s="4" t="s">
        <v>39</v>
      </c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1.25">
      <c r="B11" s="5" t="s">
        <v>13</v>
      </c>
      <c r="C11" s="5">
        <v>-34754.97</v>
      </c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5">
        <f>C11+D11+E11+F11+G11+H11+I11+J11+K11+L11+M11+N11</f>
        <v>-34754.97</v>
      </c>
    </row>
    <row r="12" spans="2:15" s="3" customFormat="1" ht="11.25">
      <c r="B12" s="4" t="s">
        <v>14</v>
      </c>
      <c r="C12" s="4">
        <f>C11</f>
        <v>-34754.97</v>
      </c>
      <c r="D12" s="4">
        <f aca="true" t="shared" si="0" ref="D12:I12">C59</f>
        <v>-30258.739999999998</v>
      </c>
      <c r="E12" s="4">
        <f t="shared" si="0"/>
        <v>-29645.389999999996</v>
      </c>
      <c r="F12" s="4">
        <f t="shared" si="0"/>
        <v>-34234.67999999999</v>
      </c>
      <c r="G12" s="28">
        <f t="shared" si="0"/>
        <v>-30957.039999999994</v>
      </c>
      <c r="H12" s="4">
        <f t="shared" si="0"/>
        <v>-28248.729999999996</v>
      </c>
      <c r="I12" s="4">
        <f t="shared" si="0"/>
        <v>-34649.63999999999</v>
      </c>
      <c r="J12" s="4">
        <f>I59</f>
        <v>-36301.729999999996</v>
      </c>
      <c r="K12" s="4">
        <f>J59</f>
        <v>-35222.59</v>
      </c>
      <c r="L12" s="4">
        <f>K59</f>
        <v>-41235.39</v>
      </c>
      <c r="M12" s="4">
        <f>L59</f>
        <v>-40437.71000000001</v>
      </c>
      <c r="N12" s="4">
        <f>M59</f>
        <v>-40437.71000000001</v>
      </c>
      <c r="O12" s="4">
        <f>O11</f>
        <v>-34754.97</v>
      </c>
    </row>
    <row r="13" spans="2:15" ht="11.25">
      <c r="B13" s="5"/>
      <c r="C13" s="5"/>
      <c r="D13" s="5"/>
      <c r="E13" s="5"/>
      <c r="F13" s="5"/>
      <c r="G13" s="27"/>
      <c r="H13" s="5"/>
      <c r="I13" s="5"/>
      <c r="J13" s="5"/>
      <c r="K13" s="5"/>
      <c r="L13" s="5"/>
      <c r="M13" s="5"/>
      <c r="N13" s="5"/>
      <c r="O13" s="4"/>
    </row>
    <row r="14" spans="2:15" ht="11.25">
      <c r="B14" s="5"/>
      <c r="C14" s="5"/>
      <c r="D14" s="5"/>
      <c r="E14" s="5"/>
      <c r="F14" s="5"/>
      <c r="G14" s="27"/>
      <c r="H14" s="5"/>
      <c r="I14" s="5"/>
      <c r="J14" s="5"/>
      <c r="K14" s="5"/>
      <c r="L14" s="5"/>
      <c r="M14" s="5"/>
      <c r="N14" s="5"/>
      <c r="O14" s="4"/>
    </row>
    <row r="15" spans="2:25" s="10" customFormat="1" ht="11.25">
      <c r="B15" s="8" t="s">
        <v>15</v>
      </c>
      <c r="C15" s="9"/>
      <c r="D15" s="9"/>
      <c r="E15" s="9"/>
      <c r="F15" s="9"/>
      <c r="G15" s="29"/>
      <c r="H15" s="9"/>
      <c r="I15" s="9"/>
      <c r="J15" s="9"/>
      <c r="K15" s="9"/>
      <c r="L15" s="9"/>
      <c r="M15" s="9"/>
      <c r="N15" s="9"/>
      <c r="O15" s="8"/>
      <c r="Y15" s="11"/>
    </row>
    <row r="16" spans="2:25" s="10" customFormat="1" ht="11.25">
      <c r="B16" s="9" t="s">
        <v>13</v>
      </c>
      <c r="C16" s="9">
        <v>16621.7</v>
      </c>
      <c r="D16" s="9">
        <v>16621.7</v>
      </c>
      <c r="E16" s="9">
        <v>16621.7</v>
      </c>
      <c r="F16" s="9">
        <v>16621.7</v>
      </c>
      <c r="G16" s="9">
        <v>16621.7</v>
      </c>
      <c r="H16" s="9">
        <v>16621.7</v>
      </c>
      <c r="I16" s="9">
        <v>17612.54</v>
      </c>
      <c r="J16" s="9">
        <v>17612.54</v>
      </c>
      <c r="K16" s="9">
        <v>17612.54</v>
      </c>
      <c r="L16" s="9">
        <v>17612.54</v>
      </c>
      <c r="M16" s="9"/>
      <c r="N16" s="9"/>
      <c r="O16" s="9">
        <f>C16+D16+E16+F16+G16+H16+I16+J16+K16+L16+M16+N16</f>
        <v>170180.36000000002</v>
      </c>
      <c r="Y16" s="11"/>
    </row>
    <row r="17" spans="2:25" s="10" customFormat="1" ht="11.25">
      <c r="B17" s="16"/>
      <c r="C17" s="9"/>
      <c r="D17" s="9"/>
      <c r="E17" s="9"/>
      <c r="F17" s="9"/>
      <c r="G17" s="29"/>
      <c r="H17" s="9"/>
      <c r="I17" s="9"/>
      <c r="J17" s="9"/>
      <c r="K17" s="9"/>
      <c r="L17" s="9"/>
      <c r="M17" s="9"/>
      <c r="N17" s="9"/>
      <c r="O17" s="9"/>
      <c r="Y17" s="11"/>
    </row>
    <row r="18" spans="2:15" s="11" customFormat="1" ht="11.25">
      <c r="B18" s="8" t="s">
        <v>14</v>
      </c>
      <c r="C18" s="8">
        <f aca="true" t="shared" si="1" ref="C18:N18">SUM(C14:C16)</f>
        <v>16621.7</v>
      </c>
      <c r="D18" s="8">
        <f t="shared" si="1"/>
        <v>16621.7</v>
      </c>
      <c r="E18" s="8">
        <f t="shared" si="1"/>
        <v>16621.7</v>
      </c>
      <c r="F18" s="8">
        <f t="shared" si="1"/>
        <v>16621.7</v>
      </c>
      <c r="G18" s="30">
        <f t="shared" si="1"/>
        <v>16621.7</v>
      </c>
      <c r="H18" s="8">
        <f t="shared" si="1"/>
        <v>16621.7</v>
      </c>
      <c r="I18" s="8">
        <f t="shared" si="1"/>
        <v>17612.54</v>
      </c>
      <c r="J18" s="8">
        <f t="shared" si="1"/>
        <v>17612.54</v>
      </c>
      <c r="K18" s="8">
        <f t="shared" si="1"/>
        <v>17612.54</v>
      </c>
      <c r="L18" s="8">
        <f t="shared" si="1"/>
        <v>17612.54</v>
      </c>
      <c r="M18" s="8">
        <f t="shared" si="1"/>
        <v>0</v>
      </c>
      <c r="N18" s="8">
        <f t="shared" si="1"/>
        <v>0</v>
      </c>
      <c r="O18" s="8">
        <f>C18+D18+E18+F18+G18+H18+I18+J18+K18+L18+M18+N18</f>
        <v>170180.36000000002</v>
      </c>
    </row>
    <row r="19" spans="2:15" ht="11.25">
      <c r="B19" s="5"/>
      <c r="C19" s="5"/>
      <c r="D19" s="5"/>
      <c r="E19" s="5"/>
      <c r="F19" s="5"/>
      <c r="G19" s="27"/>
      <c r="H19" s="5"/>
      <c r="I19" s="5"/>
      <c r="J19" s="5"/>
      <c r="K19" s="5"/>
      <c r="L19" s="5"/>
      <c r="M19" s="5"/>
      <c r="N19" s="5"/>
      <c r="O19" s="4"/>
    </row>
    <row r="20" spans="2:25" s="25" customFormat="1" ht="11.25">
      <c r="B20" s="23" t="s">
        <v>16</v>
      </c>
      <c r="C20" s="24"/>
      <c r="D20" s="24"/>
      <c r="E20" s="24"/>
      <c r="F20" s="24"/>
      <c r="G20" s="31"/>
      <c r="H20" s="24"/>
      <c r="I20" s="24"/>
      <c r="J20" s="24"/>
      <c r="K20" s="24"/>
      <c r="L20" s="24"/>
      <c r="M20" s="24"/>
      <c r="N20" s="24"/>
      <c r="O20" s="23"/>
      <c r="Y20" s="26"/>
    </row>
    <row r="21" spans="2:25" s="25" customFormat="1" ht="11.25">
      <c r="B21" s="24" t="s">
        <v>13</v>
      </c>
      <c r="C21" s="24">
        <f>16442.72+1000+544.31</f>
        <v>17987.030000000002</v>
      </c>
      <c r="D21" s="24">
        <f>17697.29+544.31+393</f>
        <v>18634.600000000002</v>
      </c>
      <c r="E21" s="24">
        <f>14794.44+1000</f>
        <v>15794.44</v>
      </c>
      <c r="F21" s="24">
        <f>14589.53+1000</f>
        <v>15589.53</v>
      </c>
      <c r="G21" s="31">
        <f>17220.44+1000</f>
        <v>18220.44</v>
      </c>
      <c r="H21" s="24">
        <v>24234.95</v>
      </c>
      <c r="I21" s="24">
        <f>14219.89+2000</f>
        <v>16219.89</v>
      </c>
      <c r="J21" s="24">
        <f>12819.83+1962.35+1000</f>
        <v>15782.18</v>
      </c>
      <c r="K21" s="24">
        <f>9594.03+1000</f>
        <v>10594.03</v>
      </c>
      <c r="L21" s="24">
        <f>15903.24+1000</f>
        <v>16903.239999999998</v>
      </c>
      <c r="M21" s="24"/>
      <c r="N21" s="24"/>
      <c r="O21" s="24">
        <f>C21+D21+E21+F21+G21+H21+I21+J21+K21+L21+M21+N21-1400.78</f>
        <v>168559.55</v>
      </c>
      <c r="Y21" s="26"/>
    </row>
    <row r="22" spans="2:25" s="25" customFormat="1" ht="11.25">
      <c r="B22" s="16"/>
      <c r="C22" s="24"/>
      <c r="D22" s="24"/>
      <c r="E22" s="24"/>
      <c r="F22" s="24"/>
      <c r="G22" s="31"/>
      <c r="H22" s="24"/>
      <c r="I22" s="24"/>
      <c r="J22" s="24"/>
      <c r="K22" s="24"/>
      <c r="L22" s="24"/>
      <c r="M22" s="24"/>
      <c r="N22" s="24"/>
      <c r="O22" s="24"/>
      <c r="Y22" s="26"/>
    </row>
    <row r="23" spans="2:15" s="26" customFormat="1" ht="11.25">
      <c r="B23" s="23" t="s">
        <v>14</v>
      </c>
      <c r="C23" s="23">
        <f aca="true" t="shared" si="2" ref="C23:O23">SUM(C21:C22)</f>
        <v>17987.030000000002</v>
      </c>
      <c r="D23" s="23">
        <f t="shared" si="2"/>
        <v>18634.600000000002</v>
      </c>
      <c r="E23" s="23">
        <f t="shared" si="2"/>
        <v>15794.44</v>
      </c>
      <c r="F23" s="23">
        <f t="shared" si="2"/>
        <v>15589.53</v>
      </c>
      <c r="G23" s="32">
        <f t="shared" si="2"/>
        <v>18220.44</v>
      </c>
      <c r="H23" s="23">
        <f t="shared" si="2"/>
        <v>24234.95</v>
      </c>
      <c r="I23" s="23">
        <f t="shared" si="2"/>
        <v>16219.89</v>
      </c>
      <c r="J23" s="23">
        <f t="shared" si="2"/>
        <v>15782.18</v>
      </c>
      <c r="K23" s="23">
        <f t="shared" si="2"/>
        <v>10594.03</v>
      </c>
      <c r="L23" s="23">
        <f t="shared" si="2"/>
        <v>16903.239999999998</v>
      </c>
      <c r="M23" s="23">
        <f t="shared" si="2"/>
        <v>0</v>
      </c>
      <c r="N23" s="23">
        <f t="shared" si="2"/>
        <v>0</v>
      </c>
      <c r="O23" s="23">
        <f t="shared" si="2"/>
        <v>168559.55</v>
      </c>
    </row>
    <row r="24" spans="2:15" ht="11.25">
      <c r="B24" s="5"/>
      <c r="C24" s="5"/>
      <c r="D24" s="5"/>
      <c r="E24" s="5"/>
      <c r="F24" s="5"/>
      <c r="G24" s="27"/>
      <c r="H24" s="5"/>
      <c r="I24" s="5"/>
      <c r="J24" s="5"/>
      <c r="K24" s="5"/>
      <c r="L24" s="5"/>
      <c r="M24" s="5"/>
      <c r="N24" s="5"/>
      <c r="O24" s="4"/>
    </row>
    <row r="25" spans="2:15" ht="11.25">
      <c r="B25" s="4" t="s">
        <v>17</v>
      </c>
      <c r="C25" s="12">
        <f aca="true" t="shared" si="3" ref="C25:O25">C23/C18</f>
        <v>1.0821414175445352</v>
      </c>
      <c r="D25" s="12">
        <f t="shared" si="3"/>
        <v>1.1211007297689166</v>
      </c>
      <c r="E25" s="12">
        <f t="shared" si="3"/>
        <v>0.9502301208660967</v>
      </c>
      <c r="F25" s="12">
        <f t="shared" si="3"/>
        <v>0.9379022602982847</v>
      </c>
      <c r="G25" s="33">
        <f t="shared" si="3"/>
        <v>1.0961839041734598</v>
      </c>
      <c r="H25" s="12">
        <f t="shared" si="3"/>
        <v>1.4580307670093913</v>
      </c>
      <c r="I25" s="12">
        <f t="shared" si="3"/>
        <v>0.9209284975364144</v>
      </c>
      <c r="J25" s="12">
        <f t="shared" si="3"/>
        <v>0.896076318350448</v>
      </c>
      <c r="K25" s="12">
        <f t="shared" si="3"/>
        <v>0.601504950450077</v>
      </c>
      <c r="L25" s="12">
        <f t="shared" si="3"/>
        <v>0.9597275577514656</v>
      </c>
      <c r="M25" s="12" t="e">
        <f t="shared" si="3"/>
        <v>#DIV/0!</v>
      </c>
      <c r="N25" s="12" t="e">
        <f t="shared" si="3"/>
        <v>#DIV/0!</v>
      </c>
      <c r="O25" s="13">
        <f t="shared" si="3"/>
        <v>0.990475928009554</v>
      </c>
    </row>
    <row r="26" spans="2:15" ht="11.25">
      <c r="B26" s="4"/>
      <c r="C26" s="12"/>
      <c r="D26" s="12"/>
      <c r="E26" s="12"/>
      <c r="F26" s="12"/>
      <c r="G26" s="33"/>
      <c r="H26" s="12"/>
      <c r="I26" s="12"/>
      <c r="J26" s="12"/>
      <c r="K26" s="12"/>
      <c r="L26" s="12"/>
      <c r="M26" s="12"/>
      <c r="N26" s="12"/>
      <c r="O26" s="14"/>
    </row>
    <row r="27" spans="2:15" ht="11.25">
      <c r="B27" s="4" t="s">
        <v>18</v>
      </c>
      <c r="C27" s="7">
        <f aca="true" t="shared" si="4" ref="C27:O27">C18-C23</f>
        <v>-1365.3300000000017</v>
      </c>
      <c r="D27" s="7">
        <f t="shared" si="4"/>
        <v>-2012.9000000000015</v>
      </c>
      <c r="E27" s="7">
        <f t="shared" si="4"/>
        <v>827.2600000000002</v>
      </c>
      <c r="F27" s="7">
        <f t="shared" si="4"/>
        <v>1032.17</v>
      </c>
      <c r="G27" s="34">
        <f t="shared" si="4"/>
        <v>-1598.739999999998</v>
      </c>
      <c r="H27" s="7">
        <f t="shared" si="4"/>
        <v>-7613.25</v>
      </c>
      <c r="I27" s="7">
        <f t="shared" si="4"/>
        <v>1392.6500000000015</v>
      </c>
      <c r="J27" s="7">
        <f t="shared" si="4"/>
        <v>1830.3600000000006</v>
      </c>
      <c r="K27" s="7">
        <f t="shared" si="4"/>
        <v>7018.51</v>
      </c>
      <c r="L27" s="7">
        <f t="shared" si="4"/>
        <v>709.3000000000029</v>
      </c>
      <c r="M27" s="7">
        <f t="shared" si="4"/>
        <v>0</v>
      </c>
      <c r="N27" s="7">
        <f t="shared" si="4"/>
        <v>0</v>
      </c>
      <c r="O27" s="7">
        <f t="shared" si="4"/>
        <v>1620.8100000000268</v>
      </c>
    </row>
    <row r="28" spans="2:15" ht="11.25">
      <c r="B28" s="5"/>
      <c r="C28" s="5"/>
      <c r="D28" s="5"/>
      <c r="E28" s="5"/>
      <c r="F28" s="5"/>
      <c r="G28" s="27"/>
      <c r="H28" s="5"/>
      <c r="I28" s="5"/>
      <c r="J28" s="5"/>
      <c r="K28" s="5"/>
      <c r="L28" s="5"/>
      <c r="M28" s="5"/>
      <c r="N28" s="5"/>
      <c r="O28" s="4"/>
    </row>
    <row r="29" spans="2:25" s="17" customFormat="1" ht="11.25">
      <c r="B29" s="15" t="s">
        <v>19</v>
      </c>
      <c r="C29" s="16"/>
      <c r="D29" s="16"/>
      <c r="E29" s="16"/>
      <c r="F29" s="16"/>
      <c r="G29" s="35"/>
      <c r="H29" s="16"/>
      <c r="I29" s="16"/>
      <c r="J29" s="16"/>
      <c r="K29" s="16"/>
      <c r="L29" s="16"/>
      <c r="M29" s="16"/>
      <c r="N29" s="16"/>
      <c r="O29" s="15"/>
      <c r="Y29" s="18"/>
    </row>
    <row r="30" spans="2:25" s="17" customFormat="1" ht="11.25">
      <c r="B30" s="16"/>
      <c r="C30" s="16"/>
      <c r="D30" s="16"/>
      <c r="E30" s="16"/>
      <c r="F30" s="16"/>
      <c r="G30" s="35"/>
      <c r="H30" s="16"/>
      <c r="I30" s="16"/>
      <c r="J30" s="16"/>
      <c r="K30" s="16"/>
      <c r="L30" s="16"/>
      <c r="M30" s="16"/>
      <c r="N30" s="16"/>
      <c r="O30" s="15"/>
      <c r="Y30" s="18"/>
    </row>
    <row r="31" spans="2:25" s="17" customFormat="1" ht="11.25">
      <c r="B31" s="16" t="s">
        <v>20</v>
      </c>
      <c r="C31" s="16">
        <v>111.1</v>
      </c>
      <c r="D31" s="16">
        <v>288.69</v>
      </c>
      <c r="E31" s="16">
        <v>397.4</v>
      </c>
      <c r="F31" s="16">
        <v>402.62</v>
      </c>
      <c r="G31" s="35">
        <v>653.08</v>
      </c>
      <c r="H31" s="16">
        <v>765.12</v>
      </c>
      <c r="I31" s="16">
        <v>447.11</v>
      </c>
      <c r="J31" s="16">
        <v>301.54</v>
      </c>
      <c r="K31" s="16">
        <v>366.53</v>
      </c>
      <c r="L31" s="16">
        <v>828.29</v>
      </c>
      <c r="M31" s="16"/>
      <c r="N31" s="16"/>
      <c r="O31" s="16">
        <f>C31+D31+E31+F31+G31+H31+I31+J31+K31+L31+M31+N31</f>
        <v>4561.48</v>
      </c>
      <c r="Y31" s="18"/>
    </row>
    <row r="32" spans="2:25" s="17" customFormat="1" ht="11.25">
      <c r="B32" s="16" t="s">
        <v>32</v>
      </c>
      <c r="C32" s="16">
        <f>5559.64+135.93</f>
        <v>5695.570000000001</v>
      </c>
      <c r="D32" s="16">
        <f>5423.72+370.55</f>
        <v>5794.27</v>
      </c>
      <c r="E32" s="16">
        <v>5559.64</v>
      </c>
      <c r="F32" s="16">
        <v>5559.64</v>
      </c>
      <c r="G32" s="35">
        <v>5559.64</v>
      </c>
      <c r="H32" s="16">
        <v>5559.64</v>
      </c>
      <c r="I32" s="16">
        <v>5559.64</v>
      </c>
      <c r="J32" s="16">
        <v>5559.64</v>
      </c>
      <c r="K32" s="16">
        <v>5559.64</v>
      </c>
      <c r="L32" s="16">
        <v>5559.64</v>
      </c>
      <c r="M32" s="16"/>
      <c r="N32" s="16"/>
      <c r="O32" s="16">
        <f aca="true" t="shared" si="5" ref="O32:O56">C32+D32+E32+F32+G32+H32+I32+J32+K32+L32+M32+N32</f>
        <v>55966.96</v>
      </c>
      <c r="Y32" s="18"/>
    </row>
    <row r="33" spans="2:25" s="17" customFormat="1" ht="11.25">
      <c r="B33" s="16" t="s">
        <v>26</v>
      </c>
      <c r="C33" s="16">
        <f>457.01+1066.14</f>
        <v>1523.15</v>
      </c>
      <c r="D33" s="16">
        <f>1637.82+552.99</f>
        <v>2190.81</v>
      </c>
      <c r="E33" s="16">
        <f>1637.82+552.99</f>
        <v>2190.81</v>
      </c>
      <c r="F33" s="16">
        <f>716.97+815.56+552.99</f>
        <v>2085.52</v>
      </c>
      <c r="G33" s="35">
        <f>822.26+1637.82</f>
        <v>2460.08</v>
      </c>
      <c r="H33" s="16">
        <f>1637.82+552.99</f>
        <v>2190.81</v>
      </c>
      <c r="I33" s="16">
        <f>1637.82+552.99</f>
        <v>2190.81</v>
      </c>
      <c r="J33" s="16">
        <f>1637.82+552.99</f>
        <v>2190.81</v>
      </c>
      <c r="K33" s="16">
        <f>1637.82+552.99</f>
        <v>2190.81</v>
      </c>
      <c r="L33" s="16">
        <f>1637.82+552.99</f>
        <v>2190.81</v>
      </c>
      <c r="M33" s="16"/>
      <c r="N33" s="16"/>
      <c r="O33" s="16">
        <f t="shared" si="5"/>
        <v>21404.420000000002</v>
      </c>
      <c r="Y33" s="18"/>
    </row>
    <row r="34" spans="2:25" s="17" customFormat="1" ht="11.25">
      <c r="B34" s="16" t="s">
        <v>27</v>
      </c>
      <c r="C34" s="16">
        <f>408.74+2619.96</f>
        <v>3028.7</v>
      </c>
      <c r="D34" s="16">
        <f>271.85+2619.96</f>
        <v>2891.81</v>
      </c>
      <c r="E34" s="16">
        <v>2619.96</v>
      </c>
      <c r="F34" s="16">
        <v>815.56</v>
      </c>
      <c r="G34" s="35">
        <f>1804.4+1359.26+552.99</f>
        <v>3716.6499999999996</v>
      </c>
      <c r="H34" s="16">
        <f>1260.7+1359.26</f>
        <v>2619.96</v>
      </c>
      <c r="I34" s="16">
        <f>1260.7+1359.26</f>
        <v>2619.96</v>
      </c>
      <c r="J34" s="16">
        <f>2914.96+65.98</f>
        <v>2980.94</v>
      </c>
      <c r="K34" s="16">
        <f>2914.96+65.98</f>
        <v>2980.94</v>
      </c>
      <c r="L34" s="16">
        <f>2914.96+65.98+1260.7</f>
        <v>4241.64</v>
      </c>
      <c r="M34" s="16"/>
      <c r="N34" s="16"/>
      <c r="O34" s="16">
        <f t="shared" si="5"/>
        <v>28516.119999999995</v>
      </c>
      <c r="Y34" s="18"/>
    </row>
    <row r="35" spans="2:25" s="17" customFormat="1" ht="11.25">
      <c r="B35" s="16" t="s">
        <v>23</v>
      </c>
      <c r="C35" s="16">
        <v>179.52</v>
      </c>
      <c r="D35" s="16">
        <v>494.32</v>
      </c>
      <c r="E35" s="16">
        <v>2724.84</v>
      </c>
      <c r="F35" s="16">
        <v>740.49</v>
      </c>
      <c r="G35" s="35">
        <v>832.34</v>
      </c>
      <c r="H35" s="16">
        <v>4470.15</v>
      </c>
      <c r="I35" s="16">
        <v>1000</v>
      </c>
      <c r="J35" s="16"/>
      <c r="K35" s="16"/>
      <c r="L35" s="16"/>
      <c r="M35" s="16"/>
      <c r="N35" s="16"/>
      <c r="O35" s="16">
        <f t="shared" si="5"/>
        <v>10441.66</v>
      </c>
      <c r="Y35" s="18"/>
    </row>
    <row r="36" spans="2:25" s="17" customFormat="1" ht="11.25">
      <c r="B36" s="19" t="s">
        <v>28</v>
      </c>
      <c r="C36" s="16">
        <v>15.75</v>
      </c>
      <c r="D36" s="16">
        <v>15.75</v>
      </c>
      <c r="E36" s="16">
        <v>15.75</v>
      </c>
      <c r="F36" s="16">
        <v>15.75</v>
      </c>
      <c r="G36" s="35"/>
      <c r="H36" s="16"/>
      <c r="I36" s="16">
        <v>15.75</v>
      </c>
      <c r="J36" s="16">
        <v>15.75</v>
      </c>
      <c r="K36" s="16">
        <v>15.75</v>
      </c>
      <c r="L36" s="16">
        <v>15.75</v>
      </c>
      <c r="M36" s="16"/>
      <c r="N36" s="16"/>
      <c r="O36" s="16">
        <f t="shared" si="5"/>
        <v>126</v>
      </c>
      <c r="Y36" s="18"/>
    </row>
    <row r="37" spans="2:25" s="17" customFormat="1" ht="11.25">
      <c r="B37" s="16" t="s">
        <v>29</v>
      </c>
      <c r="C37" s="16"/>
      <c r="D37" s="16"/>
      <c r="E37" s="16"/>
      <c r="F37" s="16"/>
      <c r="G37" s="35"/>
      <c r="H37" s="16"/>
      <c r="I37" s="16"/>
      <c r="J37" s="16"/>
      <c r="K37" s="16"/>
      <c r="L37" s="16"/>
      <c r="M37" s="16"/>
      <c r="N37" s="16"/>
      <c r="O37" s="16">
        <f t="shared" si="5"/>
        <v>0</v>
      </c>
      <c r="Y37" s="18"/>
    </row>
    <row r="38" spans="2:25" s="17" customFormat="1" ht="11.25">
      <c r="B38" s="16" t="s">
        <v>25</v>
      </c>
      <c r="C38" s="16"/>
      <c r="D38" s="16"/>
      <c r="E38" s="16"/>
      <c r="F38" s="16"/>
      <c r="G38" s="35"/>
      <c r="H38" s="16"/>
      <c r="I38" s="16"/>
      <c r="J38" s="16"/>
      <c r="K38" s="16"/>
      <c r="L38" s="16"/>
      <c r="M38" s="16"/>
      <c r="N38" s="16"/>
      <c r="O38" s="16">
        <f t="shared" si="5"/>
        <v>0</v>
      </c>
      <c r="Y38" s="18"/>
    </row>
    <row r="39" spans="2:25" s="17" customFormat="1" ht="11.25">
      <c r="B39" s="16" t="s">
        <v>31</v>
      </c>
      <c r="C39" s="16">
        <f>860.71+108.99</f>
        <v>969.7</v>
      </c>
      <c r="D39" s="16">
        <f>599.16+370.55</f>
        <v>969.71</v>
      </c>
      <c r="E39" s="16"/>
      <c r="F39" s="16">
        <f>681.82+287.88</f>
        <v>969.7</v>
      </c>
      <c r="G39" s="35">
        <f>682.78+286.92</f>
        <v>969.7</v>
      </c>
      <c r="H39" s="16"/>
      <c r="I39" s="16">
        <f>669.22+644.65+300.48+325.05</f>
        <v>1939.3999999999999</v>
      </c>
      <c r="J39" s="16">
        <f>715.98+253.73</f>
        <v>969.71</v>
      </c>
      <c r="K39" s="16">
        <f>749.41+220.29</f>
        <v>969.6999999999999</v>
      </c>
      <c r="L39" s="16">
        <v>969.7</v>
      </c>
      <c r="M39" s="16"/>
      <c r="N39" s="16"/>
      <c r="O39" s="16">
        <f t="shared" si="5"/>
        <v>8727.32</v>
      </c>
      <c r="Y39" s="18"/>
    </row>
    <row r="40" spans="2:25" s="17" customFormat="1" ht="11.25">
      <c r="B40" s="16" t="s">
        <v>30</v>
      </c>
      <c r="C40" s="16">
        <v>251.41</v>
      </c>
      <c r="D40" s="16">
        <v>251.41</v>
      </c>
      <c r="E40" s="16">
        <v>251.41</v>
      </c>
      <c r="F40" s="16">
        <v>251.41</v>
      </c>
      <c r="G40" s="35">
        <v>251.41</v>
      </c>
      <c r="H40" s="16">
        <v>251.41</v>
      </c>
      <c r="I40" s="16">
        <v>251.41</v>
      </c>
      <c r="J40" s="16">
        <v>251.41</v>
      </c>
      <c r="K40" s="16">
        <v>251.41</v>
      </c>
      <c r="L40" s="16">
        <v>251.41</v>
      </c>
      <c r="M40" s="16"/>
      <c r="N40" s="16"/>
      <c r="O40" s="16">
        <f t="shared" si="5"/>
        <v>2514.1</v>
      </c>
      <c r="Y40" s="18"/>
    </row>
    <row r="41" spans="2:25" s="17" customFormat="1" ht="11.25">
      <c r="B41" s="16" t="s">
        <v>24</v>
      </c>
      <c r="C41" s="16">
        <v>102.36</v>
      </c>
      <c r="D41" s="16">
        <v>352.48</v>
      </c>
      <c r="E41" s="16">
        <v>117.65</v>
      </c>
      <c r="F41" s="16">
        <v>401.97</v>
      </c>
      <c r="G41" s="35"/>
      <c r="H41" s="16">
        <v>201.65</v>
      </c>
      <c r="I41" s="16">
        <v>466.28</v>
      </c>
      <c r="J41" s="16">
        <v>374.82</v>
      </c>
      <c r="K41" s="16">
        <v>202.82</v>
      </c>
      <c r="L41" s="16">
        <v>479.09</v>
      </c>
      <c r="M41" s="16"/>
      <c r="N41" s="16"/>
      <c r="O41" s="16">
        <f t="shared" si="5"/>
        <v>2699.1200000000003</v>
      </c>
      <c r="Y41" s="18"/>
    </row>
    <row r="42" spans="2:25" s="17" customFormat="1" ht="11.25">
      <c r="B42" s="16" t="s">
        <v>34</v>
      </c>
      <c r="C42" s="16">
        <v>1000</v>
      </c>
      <c r="D42" s="16">
        <v>393</v>
      </c>
      <c r="E42" s="16">
        <v>1000</v>
      </c>
      <c r="F42" s="16">
        <v>1000</v>
      </c>
      <c r="G42" s="35">
        <v>1000</v>
      </c>
      <c r="H42" s="16"/>
      <c r="I42" s="16">
        <v>2000</v>
      </c>
      <c r="J42" s="16">
        <v>1000</v>
      </c>
      <c r="K42" s="16">
        <v>1000</v>
      </c>
      <c r="L42" s="16">
        <v>1000</v>
      </c>
      <c r="M42" s="16"/>
      <c r="N42" s="16"/>
      <c r="O42" s="16">
        <f t="shared" si="5"/>
        <v>9393</v>
      </c>
      <c r="Y42" s="18"/>
    </row>
    <row r="43" spans="2:25" s="17" customFormat="1" ht="11.25">
      <c r="B43" s="16" t="s">
        <v>35</v>
      </c>
      <c r="C43" s="16"/>
      <c r="D43" s="16"/>
      <c r="E43" s="16"/>
      <c r="F43" s="16"/>
      <c r="G43" s="35"/>
      <c r="H43" s="16">
        <f>312.39+205.62</f>
        <v>518.01</v>
      </c>
      <c r="I43" s="16">
        <v>312.39</v>
      </c>
      <c r="J43" s="16">
        <f>312.39+35.11+16.43</f>
        <v>363.93</v>
      </c>
      <c r="K43" s="16"/>
      <c r="L43" s="16"/>
      <c r="M43" s="16"/>
      <c r="N43" s="16"/>
      <c r="O43" s="16">
        <f t="shared" si="5"/>
        <v>1194.33</v>
      </c>
      <c r="Y43" s="18"/>
    </row>
    <row r="44" spans="2:25" s="17" customFormat="1" ht="11.25">
      <c r="B44" s="16" t="s">
        <v>36</v>
      </c>
      <c r="C44" s="16"/>
      <c r="D44" s="16"/>
      <c r="E44" s="16">
        <v>5437.04</v>
      </c>
      <c r="F44" s="16"/>
      <c r="G44" s="35"/>
      <c r="H44" s="16">
        <v>23.88</v>
      </c>
      <c r="I44" s="16"/>
      <c r="J44" s="16"/>
      <c r="K44" s="16"/>
      <c r="L44" s="16"/>
      <c r="M44" s="16"/>
      <c r="N44" s="16"/>
      <c r="O44" s="16">
        <f t="shared" si="5"/>
        <v>5460.92</v>
      </c>
      <c r="Y44" s="18"/>
    </row>
    <row r="45" spans="2:25" s="17" customFormat="1" ht="11.25">
      <c r="B45" s="16"/>
      <c r="C45" s="16"/>
      <c r="D45" s="16"/>
      <c r="E45" s="16"/>
      <c r="F45" s="16"/>
      <c r="G45" s="35"/>
      <c r="H45" s="16"/>
      <c r="I45" s="16"/>
      <c r="J45" s="16"/>
      <c r="K45" s="16"/>
      <c r="L45" s="16"/>
      <c r="M45" s="16"/>
      <c r="N45" s="16"/>
      <c r="O45" s="16"/>
      <c r="Y45" s="18"/>
    </row>
    <row r="46" spans="2:25" s="17" customFormat="1" ht="11.25">
      <c r="B46" s="41" t="s">
        <v>107</v>
      </c>
      <c r="C46" s="16">
        <v>69.23</v>
      </c>
      <c r="D46" s="16">
        <v>69.23</v>
      </c>
      <c r="E46" s="16">
        <v>69.23</v>
      </c>
      <c r="F46" s="16">
        <v>69.23</v>
      </c>
      <c r="G46" s="35">
        <v>69.23</v>
      </c>
      <c r="H46" s="16">
        <v>69.23</v>
      </c>
      <c r="I46" s="16">
        <v>69.23</v>
      </c>
      <c r="J46" s="16">
        <v>69.23</v>
      </c>
      <c r="K46" s="16">
        <v>69.23</v>
      </c>
      <c r="L46" s="16">
        <v>69.23</v>
      </c>
      <c r="M46" s="16"/>
      <c r="N46" s="16"/>
      <c r="O46" s="16">
        <v>8801.42</v>
      </c>
      <c r="Y46" s="18"/>
    </row>
    <row r="47" spans="2:25" s="17" customFormat="1" ht="11.25">
      <c r="B47" s="16" t="s">
        <v>47</v>
      </c>
      <c r="C47" s="16"/>
      <c r="D47" s="16">
        <v>3765.46</v>
      </c>
      <c r="E47" s="16"/>
      <c r="F47" s="16"/>
      <c r="G47" s="35"/>
      <c r="H47" s="16"/>
      <c r="I47" s="16"/>
      <c r="J47" s="16"/>
      <c r="K47" s="16"/>
      <c r="L47" s="16"/>
      <c r="M47" s="16"/>
      <c r="N47" s="16"/>
      <c r="O47" s="16">
        <f t="shared" si="5"/>
        <v>3765.46</v>
      </c>
      <c r="Y47" s="18"/>
    </row>
    <row r="48" spans="2:25" s="17" customFormat="1" ht="11.25">
      <c r="B48" s="16" t="s">
        <v>64</v>
      </c>
      <c r="C48" s="16">
        <v>544.31</v>
      </c>
      <c r="D48" s="16">
        <v>544.31</v>
      </c>
      <c r="E48" s="16"/>
      <c r="F48" s="16"/>
      <c r="G48" s="35"/>
      <c r="H48" s="16"/>
      <c r="I48" s="16"/>
      <c r="J48" s="16"/>
      <c r="K48" s="16"/>
      <c r="L48" s="16"/>
      <c r="M48" s="16"/>
      <c r="N48" s="16"/>
      <c r="O48" s="16">
        <f t="shared" si="5"/>
        <v>1088.62</v>
      </c>
      <c r="Y48" s="18"/>
    </row>
    <row r="49" spans="2:25" s="17" customFormat="1" ht="11.25">
      <c r="B49" s="16" t="s">
        <v>75</v>
      </c>
      <c r="C49" s="16"/>
      <c r="D49" s="16"/>
      <c r="E49" s="16"/>
      <c r="F49" s="16"/>
      <c r="G49" s="35"/>
      <c r="H49" s="16">
        <v>3000</v>
      </c>
      <c r="I49" s="16"/>
      <c r="J49" s="16"/>
      <c r="K49" s="16"/>
      <c r="L49" s="16"/>
      <c r="M49" s="16"/>
      <c r="N49" s="16"/>
      <c r="O49" s="16">
        <f t="shared" si="5"/>
        <v>3000</v>
      </c>
      <c r="Y49" s="18"/>
    </row>
    <row r="50" spans="2:25" s="17" customFormat="1" ht="11.25">
      <c r="B50" s="19" t="s">
        <v>76</v>
      </c>
      <c r="C50" s="16"/>
      <c r="D50" s="16"/>
      <c r="E50" s="16"/>
      <c r="F50" s="16"/>
      <c r="G50" s="35"/>
      <c r="H50" s="16">
        <v>10966</v>
      </c>
      <c r="I50" s="16"/>
      <c r="J50" s="16"/>
      <c r="K50" s="16"/>
      <c r="L50" s="16"/>
      <c r="M50" s="16"/>
      <c r="N50" s="16"/>
      <c r="O50" s="16">
        <f t="shared" si="5"/>
        <v>10966</v>
      </c>
      <c r="Y50" s="18"/>
    </row>
    <row r="51" spans="2:25" s="17" customFormat="1" ht="11.25">
      <c r="B51" s="16" t="s">
        <v>118</v>
      </c>
      <c r="C51" s="16"/>
      <c r="D51" s="16"/>
      <c r="E51" s="16"/>
      <c r="F51" s="16"/>
      <c r="G51" s="35"/>
      <c r="H51" s="16"/>
      <c r="I51" s="16">
        <v>1000</v>
      </c>
      <c r="J51" s="16"/>
      <c r="K51" s="16"/>
      <c r="L51" s="16"/>
      <c r="M51" s="16"/>
      <c r="N51" s="16"/>
      <c r="O51" s="16">
        <f t="shared" si="5"/>
        <v>1000</v>
      </c>
      <c r="Y51" s="18"/>
    </row>
    <row r="52" spans="2:25" s="17" customFormat="1" ht="11.25">
      <c r="B52" s="16" t="s">
        <v>70</v>
      </c>
      <c r="C52" s="16"/>
      <c r="D52" s="16"/>
      <c r="E52" s="16"/>
      <c r="F52" s="16"/>
      <c r="G52" s="35"/>
      <c r="H52" s="16"/>
      <c r="I52" s="16"/>
      <c r="J52" s="16">
        <v>625.26</v>
      </c>
      <c r="K52" s="16"/>
      <c r="L52" s="16"/>
      <c r="M52" s="16"/>
      <c r="N52" s="16"/>
      <c r="O52" s="16">
        <f t="shared" si="5"/>
        <v>625.26</v>
      </c>
      <c r="Y52" s="18"/>
    </row>
    <row r="53" spans="2:25" s="17" customFormat="1" ht="11.25">
      <c r="B53" s="16" t="s">
        <v>119</v>
      </c>
      <c r="C53" s="16"/>
      <c r="D53" s="16"/>
      <c r="E53" s="16"/>
      <c r="F53" s="16"/>
      <c r="G53" s="35"/>
      <c r="H53" s="16"/>
      <c r="I53" s="16"/>
      <c r="J53" s="16"/>
      <c r="K53" s="16">
        <v>3000</v>
      </c>
      <c r="L53" s="16"/>
      <c r="M53" s="16"/>
      <c r="N53" s="16"/>
      <c r="O53" s="16">
        <f t="shared" si="5"/>
        <v>3000</v>
      </c>
      <c r="Y53" s="18"/>
    </row>
    <row r="54" spans="2:25" s="17" customFormat="1" ht="11.25">
      <c r="B54" s="16" t="s">
        <v>97</v>
      </c>
      <c r="C54" s="16"/>
      <c r="D54" s="16"/>
      <c r="E54" s="16"/>
      <c r="F54" s="16"/>
      <c r="G54" s="35"/>
      <c r="H54" s="16"/>
      <c r="I54" s="16"/>
      <c r="J54" s="16"/>
      <c r="K54" s="16"/>
      <c r="L54" s="16">
        <v>500</v>
      </c>
      <c r="M54" s="16"/>
      <c r="N54" s="16"/>
      <c r="O54" s="16">
        <f t="shared" si="5"/>
        <v>500</v>
      </c>
      <c r="Y54" s="18"/>
    </row>
    <row r="55" spans="2:25" s="17" customFormat="1" ht="11.25">
      <c r="B55" s="16"/>
      <c r="C55" s="16"/>
      <c r="D55" s="16"/>
      <c r="E55" s="16"/>
      <c r="F55" s="16"/>
      <c r="G55" s="35"/>
      <c r="H55" s="16"/>
      <c r="I55" s="16"/>
      <c r="J55" s="16"/>
      <c r="K55" s="16"/>
      <c r="L55" s="16"/>
      <c r="M55" s="16"/>
      <c r="N55" s="16"/>
      <c r="O55" s="16">
        <f t="shared" si="5"/>
        <v>0</v>
      </c>
      <c r="Y55" s="18"/>
    </row>
    <row r="56" spans="2:25" s="17" customFormat="1" ht="11.25">
      <c r="B56" s="16"/>
      <c r="C56" s="16"/>
      <c r="D56" s="16"/>
      <c r="E56" s="16"/>
      <c r="F56" s="16"/>
      <c r="G56" s="35"/>
      <c r="H56" s="16"/>
      <c r="I56" s="16"/>
      <c r="J56" s="16"/>
      <c r="K56" s="16"/>
      <c r="L56" s="16"/>
      <c r="M56" s="16"/>
      <c r="N56" s="16"/>
      <c r="O56" s="16">
        <f t="shared" si="5"/>
        <v>0</v>
      </c>
      <c r="Y56" s="18"/>
    </row>
    <row r="57" spans="2:25" s="17" customFormat="1" ht="11.25">
      <c r="B57" s="15" t="s">
        <v>14</v>
      </c>
      <c r="C57" s="15">
        <f aca="true" t="shared" si="6" ref="C57:O57">SUM(C31:C56)</f>
        <v>13490.800000000001</v>
      </c>
      <c r="D57" s="15">
        <f t="shared" si="6"/>
        <v>18021.25</v>
      </c>
      <c r="E57" s="15">
        <f t="shared" si="6"/>
        <v>20383.73</v>
      </c>
      <c r="F57" s="15">
        <f t="shared" si="6"/>
        <v>12311.89</v>
      </c>
      <c r="G57" s="36">
        <f t="shared" si="6"/>
        <v>15512.13</v>
      </c>
      <c r="H57" s="15">
        <f t="shared" si="6"/>
        <v>30635.859999999997</v>
      </c>
      <c r="I57" s="15">
        <f t="shared" si="6"/>
        <v>17871.98</v>
      </c>
      <c r="J57" s="15">
        <f t="shared" si="6"/>
        <v>14703.039999999999</v>
      </c>
      <c r="K57" s="15">
        <f t="shared" si="6"/>
        <v>16606.83</v>
      </c>
      <c r="L57" s="15">
        <f t="shared" si="6"/>
        <v>16105.560000000001</v>
      </c>
      <c r="M57" s="15">
        <f t="shared" si="6"/>
        <v>0</v>
      </c>
      <c r="N57" s="15">
        <f t="shared" si="6"/>
        <v>0</v>
      </c>
      <c r="O57" s="15">
        <f t="shared" si="6"/>
        <v>183752.19</v>
      </c>
      <c r="Y57" s="18"/>
    </row>
    <row r="58" ht="11.25">
      <c r="G58" s="37"/>
    </row>
    <row r="59" spans="2:15" ht="11.25">
      <c r="B59" s="20" t="s">
        <v>109</v>
      </c>
      <c r="C59" s="21">
        <f aca="true" t="shared" si="7" ref="C59:O59">C12+C23-C57</f>
        <v>-30258.739999999998</v>
      </c>
      <c r="D59" s="21">
        <f t="shared" si="7"/>
        <v>-29645.389999999996</v>
      </c>
      <c r="E59" s="21">
        <f t="shared" si="7"/>
        <v>-34234.67999999999</v>
      </c>
      <c r="F59" s="21">
        <f t="shared" si="7"/>
        <v>-30957.039999999994</v>
      </c>
      <c r="G59" s="38">
        <f t="shared" si="7"/>
        <v>-28248.729999999996</v>
      </c>
      <c r="H59" s="21">
        <f t="shared" si="7"/>
        <v>-34649.63999999999</v>
      </c>
      <c r="I59" s="21">
        <f t="shared" si="7"/>
        <v>-36301.729999999996</v>
      </c>
      <c r="J59" s="21">
        <f t="shared" si="7"/>
        <v>-35222.59</v>
      </c>
      <c r="K59" s="21">
        <f t="shared" si="7"/>
        <v>-41235.39</v>
      </c>
      <c r="L59" s="38">
        <f t="shared" si="7"/>
        <v>-40437.71000000001</v>
      </c>
      <c r="M59" s="21">
        <f t="shared" si="7"/>
        <v>-40437.71000000001</v>
      </c>
      <c r="N59" s="21">
        <f t="shared" si="7"/>
        <v>-40437.71000000001</v>
      </c>
      <c r="O59" s="42">
        <f t="shared" si="7"/>
        <v>-49947.610000000015</v>
      </c>
    </row>
    <row r="60" spans="2:15" s="3" customFormat="1" ht="11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11.25">
      <c r="B61" s="2" t="s">
        <v>21</v>
      </c>
    </row>
    <row r="62" ht="11.25">
      <c r="B62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62"/>
  <sheetViews>
    <sheetView zoomScale="90" zoomScaleNormal="90" zoomScalePageLayoutView="0" workbookViewId="0" topLeftCell="A1">
      <pane xSplit="2" ySplit="8" topLeftCell="O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52" sqref="Q52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10.625" style="2" hidden="1" customWidth="1"/>
    <col min="4" max="4" width="10.375" style="2" hidden="1" customWidth="1"/>
    <col min="5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10.62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2">
      <c r="B1" s="44" t="s">
        <v>105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2:16" ht="12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2:16" ht="12">
      <c r="B3" s="45" t="s">
        <v>106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"/>
    </row>
    <row r="4" spans="2:16" ht="12">
      <c r="B4" s="45" t="s">
        <v>120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"/>
    </row>
    <row r="5" ht="11.25">
      <c r="P5" s="1"/>
    </row>
    <row r="7" spans="2:15" ht="11.25">
      <c r="B7" s="6" t="s">
        <v>45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1.25">
      <c r="B8" s="5"/>
      <c r="C8" s="5" t="s">
        <v>0</v>
      </c>
      <c r="D8" s="5" t="s">
        <v>1</v>
      </c>
      <c r="E8" s="5" t="s">
        <v>2</v>
      </c>
      <c r="F8" s="5" t="s">
        <v>3</v>
      </c>
      <c r="G8" s="27" t="s">
        <v>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10</v>
      </c>
      <c r="N8" s="5" t="s">
        <v>11</v>
      </c>
      <c r="O8" s="6" t="s">
        <v>12</v>
      </c>
    </row>
    <row r="9" spans="2:15" ht="11.25">
      <c r="B9" s="5"/>
      <c r="C9" s="5"/>
      <c r="D9" s="5"/>
      <c r="E9" s="5"/>
      <c r="F9" s="5"/>
      <c r="G9" s="27"/>
      <c r="H9" s="5"/>
      <c r="I9" s="5"/>
      <c r="J9" s="5"/>
      <c r="K9" s="5"/>
      <c r="L9" s="5"/>
      <c r="M9" s="5"/>
      <c r="N9" s="5"/>
      <c r="O9" s="4"/>
    </row>
    <row r="10" spans="2:15" ht="11.25">
      <c r="B10" s="4" t="s">
        <v>39</v>
      </c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1.25">
      <c r="B11" s="5" t="s">
        <v>13</v>
      </c>
      <c r="C11" s="5">
        <v>-226873.08</v>
      </c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5">
        <f>C11+D11+E11+F11+G11+H11+I11+J11+K11+L11+M11+N11</f>
        <v>-226873.08</v>
      </c>
    </row>
    <row r="12" spans="2:15" s="3" customFormat="1" ht="11.25">
      <c r="B12" s="4" t="s">
        <v>14</v>
      </c>
      <c r="C12" s="4">
        <f>C11</f>
        <v>-226873.08</v>
      </c>
      <c r="D12" s="4">
        <f aca="true" t="shared" si="0" ref="D12:I12">C59</f>
        <v>-206644.07999999996</v>
      </c>
      <c r="E12" s="4">
        <f t="shared" si="0"/>
        <v>-211985.69999999995</v>
      </c>
      <c r="F12" s="4">
        <f t="shared" si="0"/>
        <v>-219302.99999999994</v>
      </c>
      <c r="G12" s="28">
        <f t="shared" si="0"/>
        <v>-205199.15999999995</v>
      </c>
      <c r="H12" s="4">
        <f t="shared" si="0"/>
        <v>-202537.71999999997</v>
      </c>
      <c r="I12" s="4">
        <f t="shared" si="0"/>
        <v>-201438.71999999997</v>
      </c>
      <c r="J12" s="4">
        <f>I59</f>
        <v>-199786.23999999996</v>
      </c>
      <c r="K12" s="4">
        <f>J59</f>
        <v>-190936.17999999996</v>
      </c>
      <c r="L12" s="4">
        <f>K59</f>
        <v>-186897.47999999995</v>
      </c>
      <c r="M12" s="4">
        <f>L59</f>
        <v>-182591.90999999995</v>
      </c>
      <c r="N12" s="4">
        <f>M59</f>
        <v>-182591.90999999995</v>
      </c>
      <c r="O12" s="4">
        <f>O11</f>
        <v>-226873.08</v>
      </c>
    </row>
    <row r="13" spans="2:15" ht="11.25">
      <c r="B13" s="5"/>
      <c r="C13" s="5"/>
      <c r="D13" s="5"/>
      <c r="E13" s="5"/>
      <c r="F13" s="5"/>
      <c r="G13" s="27"/>
      <c r="H13" s="5"/>
      <c r="I13" s="5"/>
      <c r="J13" s="5"/>
      <c r="K13" s="5"/>
      <c r="L13" s="5"/>
      <c r="M13" s="5"/>
      <c r="N13" s="5"/>
      <c r="O13" s="4"/>
    </row>
    <row r="14" spans="2:15" ht="11.25">
      <c r="B14" s="5"/>
      <c r="C14" s="5"/>
      <c r="D14" s="5"/>
      <c r="E14" s="5"/>
      <c r="F14" s="5"/>
      <c r="G14" s="27"/>
      <c r="H14" s="5"/>
      <c r="I14" s="5"/>
      <c r="J14" s="5"/>
      <c r="K14" s="5"/>
      <c r="L14" s="5"/>
      <c r="M14" s="5"/>
      <c r="N14" s="5"/>
      <c r="O14" s="4"/>
    </row>
    <row r="15" spans="2:25" s="10" customFormat="1" ht="11.25">
      <c r="B15" s="8" t="s">
        <v>15</v>
      </c>
      <c r="C15" s="9"/>
      <c r="D15" s="9"/>
      <c r="E15" s="9"/>
      <c r="F15" s="9"/>
      <c r="G15" s="29"/>
      <c r="H15" s="9"/>
      <c r="I15" s="9"/>
      <c r="J15" s="9"/>
      <c r="K15" s="9"/>
      <c r="L15" s="9"/>
      <c r="M15" s="9"/>
      <c r="N15" s="9"/>
      <c r="O15" s="8"/>
      <c r="Y15" s="11"/>
    </row>
    <row r="16" spans="2:25" s="10" customFormat="1" ht="11.25">
      <c r="B16" s="9" t="s">
        <v>13</v>
      </c>
      <c r="C16" s="9">
        <v>19953.22</v>
      </c>
      <c r="D16" s="9">
        <v>19953.22</v>
      </c>
      <c r="E16" s="9">
        <v>19953.22</v>
      </c>
      <c r="F16" s="9">
        <v>19953.22</v>
      </c>
      <c r="G16" s="9">
        <v>19953.22</v>
      </c>
      <c r="H16" s="9">
        <v>19953.22</v>
      </c>
      <c r="I16" s="9">
        <v>20944.06</v>
      </c>
      <c r="J16" s="9">
        <v>20944.06</v>
      </c>
      <c r="K16" s="9">
        <v>20944.06</v>
      </c>
      <c r="L16" s="9">
        <v>18021.8</v>
      </c>
      <c r="M16" s="9"/>
      <c r="N16" s="9"/>
      <c r="O16" s="9">
        <f>C16+D16+E16+F16+G16+H16+I16+J16+K16+L16+M16+N16</f>
        <v>200573.3</v>
      </c>
      <c r="Y16" s="11"/>
    </row>
    <row r="17" spans="2:25" s="10" customFormat="1" ht="11.25">
      <c r="B17" s="9" t="s">
        <v>33</v>
      </c>
      <c r="C17" s="9"/>
      <c r="D17" s="9"/>
      <c r="E17" s="9"/>
      <c r="F17" s="9"/>
      <c r="G17" s="29"/>
      <c r="H17" s="9"/>
      <c r="I17" s="9"/>
      <c r="J17" s="9"/>
      <c r="K17" s="9"/>
      <c r="L17" s="9">
        <v>4501.86</v>
      </c>
      <c r="M17" s="9"/>
      <c r="N17" s="9"/>
      <c r="O17" s="9">
        <f>C17+D17+E17+F17+G17+H17+I17+J17+K17+L17+M17+N17</f>
        <v>4501.86</v>
      </c>
      <c r="Y17" s="11"/>
    </row>
    <row r="18" spans="2:25" s="10" customFormat="1" ht="11.25">
      <c r="B18" s="16"/>
      <c r="C18" s="9"/>
      <c r="D18" s="9"/>
      <c r="E18" s="9"/>
      <c r="F18" s="9"/>
      <c r="G18" s="29"/>
      <c r="H18" s="9"/>
      <c r="I18" s="9"/>
      <c r="J18" s="9"/>
      <c r="K18" s="9"/>
      <c r="L18" s="9"/>
      <c r="M18" s="9"/>
      <c r="N18" s="9"/>
      <c r="O18" s="9"/>
      <c r="Y18" s="11"/>
    </row>
    <row r="19" spans="2:15" s="11" customFormat="1" ht="11.25">
      <c r="B19" s="8" t="s">
        <v>14</v>
      </c>
      <c r="C19" s="8">
        <f aca="true" t="shared" si="1" ref="C19:N19">SUM(C14:C17)</f>
        <v>19953.22</v>
      </c>
      <c r="D19" s="8">
        <f t="shared" si="1"/>
        <v>19953.22</v>
      </c>
      <c r="E19" s="8">
        <f t="shared" si="1"/>
        <v>19953.22</v>
      </c>
      <c r="F19" s="8">
        <f t="shared" si="1"/>
        <v>19953.22</v>
      </c>
      <c r="G19" s="30">
        <f t="shared" si="1"/>
        <v>19953.22</v>
      </c>
      <c r="H19" s="8">
        <f t="shared" si="1"/>
        <v>19953.22</v>
      </c>
      <c r="I19" s="8">
        <f t="shared" si="1"/>
        <v>20944.06</v>
      </c>
      <c r="J19" s="8">
        <f t="shared" si="1"/>
        <v>20944.06</v>
      </c>
      <c r="K19" s="8">
        <f t="shared" si="1"/>
        <v>20944.06</v>
      </c>
      <c r="L19" s="8">
        <f t="shared" si="1"/>
        <v>22523.66</v>
      </c>
      <c r="M19" s="8">
        <f t="shared" si="1"/>
        <v>0</v>
      </c>
      <c r="N19" s="8">
        <f t="shared" si="1"/>
        <v>0</v>
      </c>
      <c r="O19" s="8">
        <f>C19+D19+E19+F19+G19+H19+I19+J19+K19+L19+M19+N19</f>
        <v>205075.16</v>
      </c>
    </row>
    <row r="20" spans="2:15" ht="11.25">
      <c r="B20" s="5"/>
      <c r="C20" s="5"/>
      <c r="D20" s="5"/>
      <c r="E20" s="5"/>
      <c r="F20" s="5"/>
      <c r="G20" s="27"/>
      <c r="H20" s="5"/>
      <c r="I20" s="5"/>
      <c r="J20" s="5"/>
      <c r="K20" s="5"/>
      <c r="L20" s="5"/>
      <c r="M20" s="5"/>
      <c r="N20" s="5"/>
      <c r="O20" s="4"/>
    </row>
    <row r="21" spans="2:25" s="25" customFormat="1" ht="11.25">
      <c r="B21" s="23" t="s">
        <v>16</v>
      </c>
      <c r="C21" s="24"/>
      <c r="D21" s="24"/>
      <c r="E21" s="24"/>
      <c r="F21" s="24"/>
      <c r="G21" s="31"/>
      <c r="H21" s="24"/>
      <c r="I21" s="24"/>
      <c r="J21" s="24"/>
      <c r="K21" s="24"/>
      <c r="L21" s="24"/>
      <c r="M21" s="24"/>
      <c r="N21" s="24"/>
      <c r="O21" s="23"/>
      <c r="Y21" s="26"/>
    </row>
    <row r="22" spans="2:25" s="25" customFormat="1" ht="11.25">
      <c r="B22" s="24" t="s">
        <v>13</v>
      </c>
      <c r="C22" s="24">
        <f>35985.08+1000+544.09</f>
        <v>37529.17</v>
      </c>
      <c r="D22" s="24">
        <f>15566.23+544.09+393</f>
        <v>16503.32</v>
      </c>
      <c r="E22" s="24">
        <f>16486.91+1000</f>
        <v>17486.91</v>
      </c>
      <c r="F22" s="24">
        <f>26551.96+1000</f>
        <v>27551.96</v>
      </c>
      <c r="G22" s="31">
        <f>22998.58+1500+1000</f>
        <v>25498.58</v>
      </c>
      <c r="H22" s="24">
        <v>21543.11</v>
      </c>
      <c r="I22" s="24">
        <f>19484.83+855.02+2000</f>
        <v>22339.850000000002</v>
      </c>
      <c r="J22" s="24">
        <f>24428.46+1000</f>
        <v>25428.46</v>
      </c>
      <c r="K22" s="24">
        <f>16541.31+1000</f>
        <v>17541.31</v>
      </c>
      <c r="L22" s="24">
        <f>18826.38+6000+1000</f>
        <v>25826.38</v>
      </c>
      <c r="M22" s="24"/>
      <c r="N22" s="24"/>
      <c r="O22" s="24">
        <f>C22+D22+E22+F22+G22+H22+I22+J22+K22+L22+M22+N22-1253.21</f>
        <v>235995.84</v>
      </c>
      <c r="Y22" s="26"/>
    </row>
    <row r="23" spans="2:25" s="25" customFormat="1" ht="11.25">
      <c r="B23" s="9" t="s">
        <v>33</v>
      </c>
      <c r="C23" s="24"/>
      <c r="D23" s="24"/>
      <c r="E23" s="24"/>
      <c r="F23" s="24"/>
      <c r="G23" s="31"/>
      <c r="H23" s="24"/>
      <c r="I23" s="24"/>
      <c r="J23" s="24"/>
      <c r="K23" s="24"/>
      <c r="L23" s="24"/>
      <c r="M23" s="24"/>
      <c r="N23" s="24"/>
      <c r="O23" s="24">
        <f>C23+D23+E23+F23+G23+H23+I23+J23+K23+L23+M23+N23</f>
        <v>0</v>
      </c>
      <c r="Y23" s="26"/>
    </row>
    <row r="24" spans="2:25" s="25" customFormat="1" ht="11.25">
      <c r="B24" s="16"/>
      <c r="C24" s="24"/>
      <c r="D24" s="24"/>
      <c r="E24" s="24"/>
      <c r="F24" s="24"/>
      <c r="G24" s="31"/>
      <c r="H24" s="24"/>
      <c r="I24" s="24"/>
      <c r="J24" s="24"/>
      <c r="K24" s="24"/>
      <c r="L24" s="24"/>
      <c r="M24" s="24"/>
      <c r="N24" s="24"/>
      <c r="O24" s="24"/>
      <c r="Y24" s="26"/>
    </row>
    <row r="25" spans="2:15" s="26" customFormat="1" ht="11.25">
      <c r="B25" s="23" t="s">
        <v>14</v>
      </c>
      <c r="C25" s="23">
        <f aca="true" t="shared" si="2" ref="C25:O25">SUM(C22:C24)</f>
        <v>37529.17</v>
      </c>
      <c r="D25" s="23">
        <f t="shared" si="2"/>
        <v>16503.32</v>
      </c>
      <c r="E25" s="23">
        <f t="shared" si="2"/>
        <v>17486.91</v>
      </c>
      <c r="F25" s="23">
        <f t="shared" si="2"/>
        <v>27551.96</v>
      </c>
      <c r="G25" s="32">
        <f t="shared" si="2"/>
        <v>25498.58</v>
      </c>
      <c r="H25" s="23">
        <f t="shared" si="2"/>
        <v>21543.11</v>
      </c>
      <c r="I25" s="23">
        <f t="shared" si="2"/>
        <v>22339.850000000002</v>
      </c>
      <c r="J25" s="23">
        <f t="shared" si="2"/>
        <v>25428.46</v>
      </c>
      <c r="K25" s="23">
        <f t="shared" si="2"/>
        <v>17541.31</v>
      </c>
      <c r="L25" s="23">
        <f t="shared" si="2"/>
        <v>25826.38</v>
      </c>
      <c r="M25" s="23">
        <f t="shared" si="2"/>
        <v>0</v>
      </c>
      <c r="N25" s="23">
        <f t="shared" si="2"/>
        <v>0</v>
      </c>
      <c r="O25" s="23">
        <f t="shared" si="2"/>
        <v>235995.84</v>
      </c>
    </row>
    <row r="26" spans="2:15" ht="11.25">
      <c r="B26" s="5"/>
      <c r="C26" s="5"/>
      <c r="D26" s="5"/>
      <c r="E26" s="5"/>
      <c r="F26" s="5"/>
      <c r="G26" s="27"/>
      <c r="H26" s="5"/>
      <c r="I26" s="5"/>
      <c r="J26" s="5"/>
      <c r="K26" s="5"/>
      <c r="L26" s="5"/>
      <c r="M26" s="5"/>
      <c r="N26" s="5"/>
      <c r="O26" s="4"/>
    </row>
    <row r="27" spans="2:15" ht="11.25">
      <c r="B27" s="4" t="s">
        <v>17</v>
      </c>
      <c r="C27" s="12">
        <f aca="true" t="shared" si="3" ref="C27:O27">C25/C19</f>
        <v>1.8808578264560807</v>
      </c>
      <c r="D27" s="12">
        <f t="shared" si="3"/>
        <v>0.8271005882759774</v>
      </c>
      <c r="E27" s="12">
        <f t="shared" si="3"/>
        <v>0.8763953888144369</v>
      </c>
      <c r="F27" s="12">
        <f t="shared" si="3"/>
        <v>1.3808277561215683</v>
      </c>
      <c r="G27" s="33">
        <f t="shared" si="3"/>
        <v>1.2779180503196979</v>
      </c>
      <c r="H27" s="12">
        <f t="shared" si="3"/>
        <v>1.0796808735632644</v>
      </c>
      <c r="I27" s="12">
        <f t="shared" si="3"/>
        <v>1.066643716643287</v>
      </c>
      <c r="J27" s="12">
        <f t="shared" si="3"/>
        <v>1.2141132139613808</v>
      </c>
      <c r="K27" s="12">
        <f t="shared" si="3"/>
        <v>0.8375315005782069</v>
      </c>
      <c r="L27" s="12">
        <f t="shared" si="3"/>
        <v>1.146633362428664</v>
      </c>
      <c r="M27" s="12" t="e">
        <f t="shared" si="3"/>
        <v>#DIV/0!</v>
      </c>
      <c r="N27" s="12" t="e">
        <f t="shared" si="3"/>
        <v>#DIV/0!</v>
      </c>
      <c r="O27" s="13">
        <f t="shared" si="3"/>
        <v>1.150777305257253</v>
      </c>
    </row>
    <row r="28" spans="2:15" ht="11.25">
      <c r="B28" s="4"/>
      <c r="C28" s="12"/>
      <c r="D28" s="12"/>
      <c r="E28" s="12"/>
      <c r="F28" s="12"/>
      <c r="G28" s="33"/>
      <c r="H28" s="12"/>
      <c r="I28" s="12"/>
      <c r="J28" s="12"/>
      <c r="K28" s="12"/>
      <c r="L28" s="12"/>
      <c r="M28" s="12"/>
      <c r="N28" s="12"/>
      <c r="O28" s="14"/>
    </row>
    <row r="29" spans="2:15" ht="11.25">
      <c r="B29" s="4" t="s">
        <v>18</v>
      </c>
      <c r="C29" s="7">
        <f aca="true" t="shared" si="4" ref="C29:O29">C19-C25</f>
        <v>-17575.949999999997</v>
      </c>
      <c r="D29" s="7">
        <f t="shared" si="4"/>
        <v>3449.9000000000015</v>
      </c>
      <c r="E29" s="7">
        <f t="shared" si="4"/>
        <v>2466.3100000000013</v>
      </c>
      <c r="F29" s="7">
        <f t="shared" si="4"/>
        <v>-7598.739999999998</v>
      </c>
      <c r="G29" s="34">
        <f t="shared" si="4"/>
        <v>-5545.360000000001</v>
      </c>
      <c r="H29" s="7">
        <f t="shared" si="4"/>
        <v>-1589.8899999999994</v>
      </c>
      <c r="I29" s="7">
        <f t="shared" si="4"/>
        <v>-1395.7900000000009</v>
      </c>
      <c r="J29" s="7">
        <f t="shared" si="4"/>
        <v>-4484.399999999998</v>
      </c>
      <c r="K29" s="7">
        <f t="shared" si="4"/>
        <v>3402.75</v>
      </c>
      <c r="L29" s="7">
        <f t="shared" si="4"/>
        <v>-3302.720000000001</v>
      </c>
      <c r="M29" s="7">
        <f t="shared" si="4"/>
        <v>0</v>
      </c>
      <c r="N29" s="7">
        <f t="shared" si="4"/>
        <v>0</v>
      </c>
      <c r="O29" s="7">
        <f t="shared" si="4"/>
        <v>-30920.679999999993</v>
      </c>
    </row>
    <row r="30" spans="2:15" ht="11.25">
      <c r="B30" s="5"/>
      <c r="C30" s="5"/>
      <c r="D30" s="5"/>
      <c r="E30" s="5"/>
      <c r="F30" s="5"/>
      <c r="G30" s="27"/>
      <c r="H30" s="5"/>
      <c r="I30" s="5"/>
      <c r="J30" s="5"/>
      <c r="K30" s="5"/>
      <c r="L30" s="5"/>
      <c r="M30" s="5"/>
      <c r="N30" s="5"/>
      <c r="O30" s="4"/>
    </row>
    <row r="31" spans="2:25" s="17" customFormat="1" ht="11.25">
      <c r="B31" s="15" t="s">
        <v>19</v>
      </c>
      <c r="C31" s="16"/>
      <c r="D31" s="16"/>
      <c r="E31" s="16"/>
      <c r="F31" s="16"/>
      <c r="G31" s="35"/>
      <c r="H31" s="16"/>
      <c r="I31" s="16"/>
      <c r="J31" s="16"/>
      <c r="K31" s="16"/>
      <c r="L31" s="16"/>
      <c r="M31" s="16"/>
      <c r="N31" s="16"/>
      <c r="O31" s="15"/>
      <c r="Y31" s="18"/>
    </row>
    <row r="32" spans="2:25" s="17" customFormat="1" ht="11.25">
      <c r="B32" s="16"/>
      <c r="C32" s="16"/>
      <c r="D32" s="16"/>
      <c r="E32" s="16"/>
      <c r="F32" s="16"/>
      <c r="G32" s="35"/>
      <c r="H32" s="16"/>
      <c r="I32" s="16"/>
      <c r="J32" s="16"/>
      <c r="K32" s="16"/>
      <c r="L32" s="16"/>
      <c r="M32" s="16"/>
      <c r="N32" s="16"/>
      <c r="O32" s="15"/>
      <c r="Y32" s="18"/>
    </row>
    <row r="33" spans="2:25" s="17" customFormat="1" ht="11.25">
      <c r="B33" s="16" t="s">
        <v>20</v>
      </c>
      <c r="C33" s="16">
        <v>111.1</v>
      </c>
      <c r="D33" s="16">
        <v>288.69</v>
      </c>
      <c r="E33" s="16">
        <v>397.4</v>
      </c>
      <c r="F33" s="16">
        <v>402.62</v>
      </c>
      <c r="G33" s="35">
        <v>653.08</v>
      </c>
      <c r="H33" s="16">
        <v>715.12</v>
      </c>
      <c r="I33" s="16">
        <v>437.11</v>
      </c>
      <c r="J33" s="16">
        <v>301.53</v>
      </c>
      <c r="K33" s="16">
        <v>336.53</v>
      </c>
      <c r="L33" s="16">
        <v>818.29</v>
      </c>
      <c r="M33" s="16"/>
      <c r="N33" s="16"/>
      <c r="O33" s="16">
        <f>C33+D33+E33+F33+G33+H33+I33+J33+K33+L33+M33+N33</f>
        <v>4461.469999999999</v>
      </c>
      <c r="Y33" s="18"/>
    </row>
    <row r="34" spans="2:25" s="17" customFormat="1" ht="11.25">
      <c r="B34" s="16" t="s">
        <v>32</v>
      </c>
      <c r="C34" s="16">
        <f>5557.32+135.87</f>
        <v>5693.19</v>
      </c>
      <c r="D34" s="16">
        <f>5421.45+370.39</f>
        <v>5791.84</v>
      </c>
      <c r="E34" s="16">
        <v>5557.32</v>
      </c>
      <c r="F34" s="16">
        <v>5557.32</v>
      </c>
      <c r="G34" s="35">
        <v>5557.32</v>
      </c>
      <c r="H34" s="16">
        <v>5557.32</v>
      </c>
      <c r="I34" s="16">
        <v>5557.32</v>
      </c>
      <c r="J34" s="16">
        <v>5557.32</v>
      </c>
      <c r="K34" s="16">
        <v>5557.32</v>
      </c>
      <c r="L34" s="16">
        <v>5557.32</v>
      </c>
      <c r="M34" s="16"/>
      <c r="N34" s="16"/>
      <c r="O34" s="16">
        <f aca="true" t="shared" si="5" ref="O34:O56">C34+D34+E34+F34+G34+H34+I34+J34+K34+L34+M34+N34</f>
        <v>55943.59</v>
      </c>
      <c r="Y34" s="18"/>
    </row>
    <row r="35" spans="2:25" s="17" customFormat="1" ht="11.25">
      <c r="B35" s="16" t="s">
        <v>26</v>
      </c>
      <c r="C35" s="16">
        <f>1065.25+449.88</f>
        <v>1515.13</v>
      </c>
      <c r="D35" s="16">
        <f>1637.14+552.76</f>
        <v>2189.9</v>
      </c>
      <c r="E35" s="16">
        <f>1637.14+552.76</f>
        <v>2189.9</v>
      </c>
      <c r="F35" s="16">
        <f>716.67+815.22+552.76</f>
        <v>2084.6499999999996</v>
      </c>
      <c r="G35" s="35">
        <f>821.92+1637.14</f>
        <v>2459.06</v>
      </c>
      <c r="H35" s="16">
        <f>1637.14+552.76</f>
        <v>2189.9</v>
      </c>
      <c r="I35" s="16">
        <f>1637.14+552.76</f>
        <v>2189.9</v>
      </c>
      <c r="J35" s="16">
        <f>1637.14+552.76</f>
        <v>2189.9</v>
      </c>
      <c r="K35" s="16">
        <f>1637.14+552.76</f>
        <v>2189.9</v>
      </c>
      <c r="L35" s="16">
        <f>1637.14+552.76</f>
        <v>2189.9</v>
      </c>
      <c r="M35" s="16"/>
      <c r="N35" s="16"/>
      <c r="O35" s="16">
        <f t="shared" si="5"/>
        <v>21388.140000000003</v>
      </c>
      <c r="Y35" s="18"/>
    </row>
    <row r="36" spans="2:25" s="17" customFormat="1" ht="11.25">
      <c r="B36" s="16" t="s">
        <v>27</v>
      </c>
      <c r="C36" s="16">
        <f>402.37+2618.86</f>
        <v>3021.23</v>
      </c>
      <c r="D36" s="16">
        <f>271.74+2618.86</f>
        <v>2890.6000000000004</v>
      </c>
      <c r="E36" s="16">
        <v>2618.86</v>
      </c>
      <c r="F36" s="16">
        <v>815.22</v>
      </c>
      <c r="G36" s="35">
        <f>1803.65+1358.69+552.76</f>
        <v>3715.1000000000004</v>
      </c>
      <c r="H36" s="16">
        <f>1260.17+1358.69</f>
        <v>2618.86</v>
      </c>
      <c r="I36" s="16">
        <f>1260.17+1358.69</f>
        <v>2618.86</v>
      </c>
      <c r="J36" s="16">
        <f>2913.75+65.95</f>
        <v>2979.7</v>
      </c>
      <c r="K36" s="16">
        <f>2913.75+65.95</f>
        <v>2979.7</v>
      </c>
      <c r="L36" s="16">
        <f>2913.75+65.95+1260.17</f>
        <v>4239.87</v>
      </c>
      <c r="M36" s="16"/>
      <c r="N36" s="16"/>
      <c r="O36" s="16">
        <f t="shared" si="5"/>
        <v>28498</v>
      </c>
      <c r="Y36" s="18"/>
    </row>
    <row r="37" spans="2:25" s="17" customFormat="1" ht="11.25">
      <c r="B37" s="16" t="s">
        <v>23</v>
      </c>
      <c r="C37" s="16">
        <v>176.73</v>
      </c>
      <c r="D37" s="16">
        <v>494.11</v>
      </c>
      <c r="E37" s="16">
        <v>3321.27</v>
      </c>
      <c r="F37" s="16"/>
      <c r="G37" s="35">
        <v>831.98</v>
      </c>
      <c r="H37" s="16">
        <v>4468.28</v>
      </c>
      <c r="I37" s="16">
        <v>1000</v>
      </c>
      <c r="J37" s="16"/>
      <c r="K37" s="16"/>
      <c r="L37" s="16"/>
      <c r="M37" s="16"/>
      <c r="N37" s="16"/>
      <c r="O37" s="16">
        <f t="shared" si="5"/>
        <v>10292.369999999999</v>
      </c>
      <c r="Y37" s="18"/>
    </row>
    <row r="38" spans="2:25" s="17" customFormat="1" ht="11.25">
      <c r="B38" s="19" t="s">
        <v>28</v>
      </c>
      <c r="C38" s="16">
        <v>15.74</v>
      </c>
      <c r="D38" s="16">
        <v>15.74</v>
      </c>
      <c r="E38" s="16">
        <v>15.74</v>
      </c>
      <c r="F38" s="16">
        <v>15.74</v>
      </c>
      <c r="G38" s="35"/>
      <c r="H38" s="16"/>
      <c r="I38" s="16">
        <v>15.74</v>
      </c>
      <c r="J38" s="16">
        <v>15.74</v>
      </c>
      <c r="K38" s="16">
        <v>15.74</v>
      </c>
      <c r="L38" s="16">
        <v>15.74</v>
      </c>
      <c r="M38" s="16"/>
      <c r="N38" s="16"/>
      <c r="O38" s="16">
        <f t="shared" si="5"/>
        <v>125.91999999999999</v>
      </c>
      <c r="Y38" s="18"/>
    </row>
    <row r="39" spans="2:25" s="17" customFormat="1" ht="11.25">
      <c r="B39" s="16" t="s">
        <v>29</v>
      </c>
      <c r="C39" s="16">
        <v>3900</v>
      </c>
      <c r="D39" s="16">
        <v>3900</v>
      </c>
      <c r="E39" s="16">
        <v>3900</v>
      </c>
      <c r="F39" s="16">
        <v>1950</v>
      </c>
      <c r="G39" s="35">
        <f>1950+1950</f>
        <v>3900</v>
      </c>
      <c r="H39" s="16">
        <f>1950+1950</f>
        <v>3900</v>
      </c>
      <c r="I39" s="16">
        <f>1950+1950</f>
        <v>3900</v>
      </c>
      <c r="J39" s="16">
        <f>1950</f>
        <v>1950</v>
      </c>
      <c r="K39" s="16"/>
      <c r="L39" s="16"/>
      <c r="M39" s="16"/>
      <c r="N39" s="16"/>
      <c r="O39" s="16">
        <f t="shared" si="5"/>
        <v>27300</v>
      </c>
      <c r="Y39" s="18"/>
    </row>
    <row r="40" spans="2:25" s="17" customFormat="1" ht="11.25">
      <c r="B40" s="16" t="s">
        <v>31</v>
      </c>
      <c r="C40" s="16">
        <f>860.36+108.94</f>
        <v>969.3</v>
      </c>
      <c r="D40" s="16">
        <f>598.91+370.39</f>
        <v>969.3</v>
      </c>
      <c r="E40" s="16"/>
      <c r="F40" s="16">
        <f>681.54+287.76</f>
        <v>969.3</v>
      </c>
      <c r="G40" s="35">
        <f>682.5+286.8</f>
        <v>969.3</v>
      </c>
      <c r="H40" s="16"/>
      <c r="I40" s="16">
        <f>668.94+644.39+300.36+324.91</f>
        <v>1938.6000000000001</v>
      </c>
      <c r="J40" s="16">
        <f>715.68+253.62</f>
        <v>969.3</v>
      </c>
      <c r="K40" s="16">
        <f>749.1+220.2</f>
        <v>969.3</v>
      </c>
      <c r="L40" s="16">
        <v>969.3</v>
      </c>
      <c r="M40" s="16"/>
      <c r="N40" s="16"/>
      <c r="O40" s="16">
        <f t="shared" si="5"/>
        <v>8723.7</v>
      </c>
      <c r="Y40" s="18"/>
    </row>
    <row r="41" spans="2:25" s="17" customFormat="1" ht="11.25">
      <c r="B41" s="16" t="s">
        <v>30</v>
      </c>
      <c r="C41" s="16">
        <v>251.3</v>
      </c>
      <c r="D41" s="16">
        <v>251.3</v>
      </c>
      <c r="E41" s="16">
        <v>251.3</v>
      </c>
      <c r="F41" s="16">
        <v>251.3</v>
      </c>
      <c r="G41" s="35">
        <v>251.3</v>
      </c>
      <c r="H41" s="16">
        <v>251.3</v>
      </c>
      <c r="I41" s="16">
        <v>251.3</v>
      </c>
      <c r="J41" s="16">
        <v>251.3</v>
      </c>
      <c r="K41" s="16">
        <v>251.3</v>
      </c>
      <c r="L41" s="16">
        <v>251.3</v>
      </c>
      <c r="M41" s="16"/>
      <c r="N41" s="16"/>
      <c r="O41" s="16">
        <f t="shared" si="5"/>
        <v>2513</v>
      </c>
      <c r="Y41" s="18"/>
    </row>
    <row r="42" spans="2:25" s="17" customFormat="1" ht="11.25">
      <c r="B42" s="16" t="s">
        <v>24</v>
      </c>
      <c r="C42" s="16">
        <v>102.36</v>
      </c>
      <c r="D42" s="16">
        <v>352.48</v>
      </c>
      <c r="E42" s="16">
        <v>117.65</v>
      </c>
      <c r="F42" s="16">
        <v>401.97</v>
      </c>
      <c r="G42" s="35"/>
      <c r="H42" s="16">
        <v>201.65</v>
      </c>
      <c r="I42" s="16">
        <v>466.28</v>
      </c>
      <c r="J42" s="16">
        <v>374.82</v>
      </c>
      <c r="K42" s="16">
        <v>202.82</v>
      </c>
      <c r="L42" s="16">
        <v>479.09</v>
      </c>
      <c r="M42" s="16"/>
      <c r="N42" s="16"/>
      <c r="O42" s="16">
        <f t="shared" si="5"/>
        <v>2699.1200000000003</v>
      </c>
      <c r="Y42" s="18"/>
    </row>
    <row r="43" spans="2:25" s="17" customFormat="1" ht="11.25">
      <c r="B43" s="16" t="s">
        <v>34</v>
      </c>
      <c r="C43" s="16">
        <v>1000</v>
      </c>
      <c r="D43" s="16">
        <v>393</v>
      </c>
      <c r="E43" s="16">
        <v>1000</v>
      </c>
      <c r="F43" s="16">
        <v>1000</v>
      </c>
      <c r="G43" s="35">
        <v>1000</v>
      </c>
      <c r="H43" s="16"/>
      <c r="I43" s="16">
        <v>2000</v>
      </c>
      <c r="J43" s="16">
        <v>1000</v>
      </c>
      <c r="K43" s="16">
        <v>1000</v>
      </c>
      <c r="L43" s="16">
        <v>1000</v>
      </c>
      <c r="M43" s="16"/>
      <c r="N43" s="16"/>
      <c r="O43" s="16">
        <f t="shared" si="5"/>
        <v>9393</v>
      </c>
      <c r="Y43" s="18"/>
    </row>
    <row r="44" spans="2:25" s="17" customFormat="1" ht="11.25">
      <c r="B44" s="16" t="s">
        <v>35</v>
      </c>
      <c r="C44" s="16"/>
      <c r="D44" s="16"/>
      <c r="E44" s="16"/>
      <c r="F44" s="16"/>
      <c r="G44" s="35"/>
      <c r="H44" s="16">
        <f>312.26+205.54</f>
        <v>517.8</v>
      </c>
      <c r="I44" s="16">
        <v>312.26</v>
      </c>
      <c r="J44" s="16">
        <f>312.26+35.1+16.43</f>
        <v>363.79</v>
      </c>
      <c r="K44" s="16"/>
      <c r="L44" s="16"/>
      <c r="M44" s="16"/>
      <c r="N44" s="16"/>
      <c r="O44" s="16">
        <f t="shared" si="5"/>
        <v>1193.85</v>
      </c>
      <c r="Y44" s="18"/>
    </row>
    <row r="45" spans="2:25" s="17" customFormat="1" ht="11.25">
      <c r="B45" s="16" t="s">
        <v>36</v>
      </c>
      <c r="C45" s="16"/>
      <c r="D45" s="16"/>
      <c r="E45" s="16">
        <v>5434.77</v>
      </c>
      <c r="F45" s="16"/>
      <c r="G45" s="35"/>
      <c r="H45" s="16">
        <v>23.88</v>
      </c>
      <c r="I45" s="16"/>
      <c r="J45" s="16"/>
      <c r="K45" s="16"/>
      <c r="L45" s="16"/>
      <c r="M45" s="16"/>
      <c r="N45" s="16"/>
      <c r="O45" s="16">
        <f t="shared" si="5"/>
        <v>5458.650000000001</v>
      </c>
      <c r="Y45" s="18"/>
    </row>
    <row r="46" spans="2:25" s="17" customFormat="1" ht="11.25">
      <c r="B46" s="16"/>
      <c r="C46" s="16"/>
      <c r="D46" s="16"/>
      <c r="E46" s="16"/>
      <c r="F46" s="16"/>
      <c r="G46" s="35"/>
      <c r="H46" s="16"/>
      <c r="I46" s="16"/>
      <c r="J46" s="16"/>
      <c r="K46" s="16"/>
      <c r="L46" s="16"/>
      <c r="M46" s="16"/>
      <c r="N46" s="16"/>
      <c r="O46" s="16"/>
      <c r="Y46" s="18"/>
    </row>
    <row r="47" spans="2:25" s="17" customFormat="1" ht="11.25">
      <c r="B47" s="41" t="s">
        <v>107</v>
      </c>
      <c r="C47" s="16"/>
      <c r="D47" s="16"/>
      <c r="E47" s="16"/>
      <c r="F47" s="16"/>
      <c r="G47" s="35"/>
      <c r="H47" s="16"/>
      <c r="I47" s="16"/>
      <c r="J47" s="16"/>
      <c r="K47" s="16"/>
      <c r="L47" s="16"/>
      <c r="M47" s="16"/>
      <c r="N47" s="16"/>
      <c r="O47" s="16">
        <v>6401.65</v>
      </c>
      <c r="Y47" s="18"/>
    </row>
    <row r="48" spans="2:25" s="17" customFormat="1" ht="11.25">
      <c r="B48" s="16" t="s">
        <v>47</v>
      </c>
      <c r="C48" s="16"/>
      <c r="D48" s="16">
        <v>3763.89</v>
      </c>
      <c r="E48" s="16"/>
      <c r="F48" s="16"/>
      <c r="G48" s="35"/>
      <c r="H48" s="16"/>
      <c r="I48" s="16"/>
      <c r="J48" s="16"/>
      <c r="K48" s="16"/>
      <c r="L48" s="16"/>
      <c r="M48" s="16"/>
      <c r="N48" s="16"/>
      <c r="O48" s="16">
        <f t="shared" si="5"/>
        <v>3763.89</v>
      </c>
      <c r="Y48" s="18"/>
    </row>
    <row r="49" spans="2:25" s="17" customFormat="1" ht="11.25">
      <c r="B49" s="16" t="s">
        <v>64</v>
      </c>
      <c r="C49" s="16">
        <v>544.09</v>
      </c>
      <c r="D49" s="16">
        <v>544.09</v>
      </c>
      <c r="E49" s="16"/>
      <c r="F49" s="16"/>
      <c r="G49" s="35"/>
      <c r="H49" s="16"/>
      <c r="I49" s="16"/>
      <c r="J49" s="16"/>
      <c r="K49" s="16"/>
      <c r="L49" s="16"/>
      <c r="M49" s="16"/>
      <c r="N49" s="16"/>
      <c r="O49" s="16">
        <f t="shared" si="5"/>
        <v>1088.18</v>
      </c>
      <c r="Y49" s="18"/>
    </row>
    <row r="50" spans="2:25" s="17" customFormat="1" ht="11.25">
      <c r="B50" s="16" t="s">
        <v>70</v>
      </c>
      <c r="C50" s="16"/>
      <c r="D50" s="16"/>
      <c r="E50" s="16"/>
      <c r="F50" s="16"/>
      <c r="G50" s="35">
        <v>2000</v>
      </c>
      <c r="H50" s="16"/>
      <c r="I50" s="16"/>
      <c r="J50" s="16"/>
      <c r="K50" s="16"/>
      <c r="L50" s="16"/>
      <c r="M50" s="16"/>
      <c r="N50" s="16"/>
      <c r="O50" s="16">
        <f t="shared" si="5"/>
        <v>2000</v>
      </c>
      <c r="Y50" s="18"/>
    </row>
    <row r="51" spans="2:25" s="17" customFormat="1" ht="11.25">
      <c r="B51" s="16" t="s">
        <v>70</v>
      </c>
      <c r="C51" s="16"/>
      <c r="D51" s="16"/>
      <c r="E51" s="16"/>
      <c r="F51" s="16"/>
      <c r="G51" s="35"/>
      <c r="H51" s="16"/>
      <c r="I51" s="16"/>
      <c r="J51" s="16">
        <v>625</v>
      </c>
      <c r="K51" s="16"/>
      <c r="L51" s="16"/>
      <c r="M51" s="16"/>
      <c r="N51" s="16"/>
      <c r="O51" s="16">
        <f t="shared" si="5"/>
        <v>625</v>
      </c>
      <c r="Y51" s="18"/>
    </row>
    <row r="52" spans="2:25" s="17" customFormat="1" ht="11.25">
      <c r="B52" s="16" t="s">
        <v>94</v>
      </c>
      <c r="C52" s="16"/>
      <c r="D52" s="16"/>
      <c r="E52" s="16"/>
      <c r="F52" s="16"/>
      <c r="G52" s="35">
        <v>1500</v>
      </c>
      <c r="H52" s="16"/>
      <c r="I52" s="16"/>
      <c r="J52" s="16"/>
      <c r="K52" s="16"/>
      <c r="L52" s="16"/>
      <c r="M52" s="16"/>
      <c r="N52" s="16"/>
      <c r="O52" s="16">
        <f t="shared" si="5"/>
        <v>1500</v>
      </c>
      <c r="Y52" s="18"/>
    </row>
    <row r="53" spans="2:25" s="17" customFormat="1" ht="11.25">
      <c r="B53" s="16" t="s">
        <v>102</v>
      </c>
      <c r="C53" s="16"/>
      <c r="D53" s="16"/>
      <c r="E53" s="16"/>
      <c r="F53" s="16"/>
      <c r="G53" s="35"/>
      <c r="H53" s="16"/>
      <c r="I53" s="16"/>
      <c r="J53" s="16"/>
      <c r="K53" s="16"/>
      <c r="L53" s="16">
        <v>6000</v>
      </c>
      <c r="M53" s="16"/>
      <c r="N53" s="16"/>
      <c r="O53" s="16">
        <f t="shared" si="5"/>
        <v>6000</v>
      </c>
      <c r="Y53" s="18"/>
    </row>
    <row r="54" spans="2:25" s="17" customFormat="1" ht="11.25">
      <c r="B54" s="16"/>
      <c r="C54" s="16"/>
      <c r="D54" s="16"/>
      <c r="E54" s="16"/>
      <c r="F54" s="16"/>
      <c r="G54" s="35"/>
      <c r="H54" s="16"/>
      <c r="I54" s="16"/>
      <c r="J54" s="16"/>
      <c r="K54" s="16"/>
      <c r="L54" s="16"/>
      <c r="M54" s="16"/>
      <c r="N54" s="16"/>
      <c r="O54" s="16">
        <f t="shared" si="5"/>
        <v>0</v>
      </c>
      <c r="Y54" s="18"/>
    </row>
    <row r="55" spans="2:25" s="17" customFormat="1" ht="11.25">
      <c r="B55" s="16"/>
      <c r="C55" s="16"/>
      <c r="D55" s="16"/>
      <c r="E55" s="16"/>
      <c r="F55" s="16"/>
      <c r="G55" s="35"/>
      <c r="H55" s="16"/>
      <c r="I55" s="16"/>
      <c r="J55" s="16"/>
      <c r="K55" s="16"/>
      <c r="L55" s="16"/>
      <c r="M55" s="16"/>
      <c r="N55" s="16"/>
      <c r="O55" s="16">
        <f t="shared" si="5"/>
        <v>0</v>
      </c>
      <c r="Y55" s="18"/>
    </row>
    <row r="56" spans="2:25" s="17" customFormat="1" ht="11.25">
      <c r="B56" s="16"/>
      <c r="C56" s="16"/>
      <c r="D56" s="16"/>
      <c r="E56" s="16"/>
      <c r="F56" s="16"/>
      <c r="G56" s="35"/>
      <c r="H56" s="16"/>
      <c r="I56" s="16"/>
      <c r="J56" s="16"/>
      <c r="K56" s="16"/>
      <c r="L56" s="16"/>
      <c r="M56" s="16"/>
      <c r="N56" s="16"/>
      <c r="O56" s="16">
        <f t="shared" si="5"/>
        <v>0</v>
      </c>
      <c r="Y56" s="18"/>
    </row>
    <row r="57" spans="2:25" s="17" customFormat="1" ht="11.25">
      <c r="B57" s="15" t="s">
        <v>14</v>
      </c>
      <c r="C57" s="15">
        <f aca="true" t="shared" si="6" ref="C57:O57">SUM(C33:C56)</f>
        <v>17300.17</v>
      </c>
      <c r="D57" s="15">
        <f t="shared" si="6"/>
        <v>21844.94</v>
      </c>
      <c r="E57" s="15">
        <f t="shared" si="6"/>
        <v>24804.21</v>
      </c>
      <c r="F57" s="15">
        <f t="shared" si="6"/>
        <v>13448.119999999997</v>
      </c>
      <c r="G57" s="36">
        <f t="shared" si="6"/>
        <v>22837.14</v>
      </c>
      <c r="H57" s="15">
        <f t="shared" si="6"/>
        <v>20444.11</v>
      </c>
      <c r="I57" s="15">
        <f t="shared" si="6"/>
        <v>20687.369999999995</v>
      </c>
      <c r="J57" s="15">
        <f t="shared" si="6"/>
        <v>16578.4</v>
      </c>
      <c r="K57" s="15">
        <f t="shared" si="6"/>
        <v>13502.609999999999</v>
      </c>
      <c r="L57" s="15">
        <f t="shared" si="6"/>
        <v>21520.809999999998</v>
      </c>
      <c r="M57" s="15">
        <f t="shared" si="6"/>
        <v>0</v>
      </c>
      <c r="N57" s="15">
        <f t="shared" si="6"/>
        <v>0</v>
      </c>
      <c r="O57" s="15">
        <f t="shared" si="6"/>
        <v>199369.53</v>
      </c>
      <c r="Y57" s="18"/>
    </row>
    <row r="58" ht="11.25">
      <c r="G58" s="37"/>
    </row>
    <row r="59" spans="2:15" ht="11.25">
      <c r="B59" s="20" t="s">
        <v>109</v>
      </c>
      <c r="C59" s="21">
        <f aca="true" t="shared" si="7" ref="C59:O59">C12+C25-C57</f>
        <v>-206644.07999999996</v>
      </c>
      <c r="D59" s="21">
        <f t="shared" si="7"/>
        <v>-211985.69999999995</v>
      </c>
      <c r="E59" s="21">
        <f t="shared" si="7"/>
        <v>-219302.99999999994</v>
      </c>
      <c r="F59" s="21">
        <f t="shared" si="7"/>
        <v>-205199.15999999995</v>
      </c>
      <c r="G59" s="38">
        <f t="shared" si="7"/>
        <v>-202537.71999999997</v>
      </c>
      <c r="H59" s="21">
        <f t="shared" si="7"/>
        <v>-201438.71999999997</v>
      </c>
      <c r="I59" s="21">
        <f t="shared" si="7"/>
        <v>-199786.23999999996</v>
      </c>
      <c r="J59" s="21">
        <f t="shared" si="7"/>
        <v>-190936.17999999996</v>
      </c>
      <c r="K59" s="21">
        <f t="shared" si="7"/>
        <v>-186897.47999999995</v>
      </c>
      <c r="L59" s="38">
        <f t="shared" si="7"/>
        <v>-182591.90999999995</v>
      </c>
      <c r="M59" s="21">
        <f t="shared" si="7"/>
        <v>-182591.90999999995</v>
      </c>
      <c r="N59" s="21">
        <f t="shared" si="7"/>
        <v>-182591.90999999995</v>
      </c>
      <c r="O59" s="42">
        <f t="shared" si="7"/>
        <v>-190246.77</v>
      </c>
    </row>
    <row r="60" spans="2:6" ht="11.25">
      <c r="B60" s="22"/>
      <c r="F60" s="2" t="s">
        <v>65</v>
      </c>
    </row>
    <row r="61" ht="11.25">
      <c r="B61" s="2" t="s">
        <v>21</v>
      </c>
    </row>
    <row r="62" ht="11.25">
      <c r="B62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Y58"/>
  <sheetViews>
    <sheetView zoomScale="90" zoomScaleNormal="90" zoomScalePageLayoutView="0" workbookViewId="0" topLeftCell="A1">
      <pane xSplit="2" ySplit="5" topLeftCell="O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44" sqref="Q44"/>
    </sheetView>
  </sheetViews>
  <sheetFormatPr defaultColWidth="26.75390625" defaultRowHeight="12.75"/>
  <cols>
    <col min="1" max="1" width="26.75390625" style="2" customWidth="1"/>
    <col min="2" max="2" width="37.00390625" style="2" customWidth="1"/>
    <col min="3" max="3" width="8.625" style="2" hidden="1" customWidth="1"/>
    <col min="4" max="5" width="9.375" style="2" hidden="1" customWidth="1"/>
    <col min="6" max="6" width="10.25390625" style="2" hidden="1" customWidth="1"/>
    <col min="7" max="7" width="9.125" style="2" hidden="1" customWidth="1"/>
    <col min="8" max="8" width="9.00390625" style="2" hidden="1" customWidth="1"/>
    <col min="9" max="9" width="8.875" style="2" hidden="1" customWidth="1"/>
    <col min="10" max="10" width="9.25390625" style="2" hidden="1" customWidth="1"/>
    <col min="11" max="11" width="11.25390625" style="2" hidden="1" customWidth="1"/>
    <col min="12" max="12" width="9.75390625" style="2" hidden="1" customWidth="1"/>
    <col min="13" max="13" width="8.75390625" style="2" hidden="1" customWidth="1"/>
    <col min="14" max="14" width="9.25390625" style="2" hidden="1" customWidth="1"/>
    <col min="15" max="15" width="9.25390625" style="3" customWidth="1"/>
    <col min="16" max="16" width="7.625" style="2" customWidth="1"/>
    <col min="17" max="24" width="26.75390625" style="2" customWidth="1"/>
    <col min="25" max="25" width="26.75390625" style="3" customWidth="1"/>
    <col min="26" max="16384" width="26.75390625" style="2" customWidth="1"/>
  </cols>
  <sheetData>
    <row r="1" spans="2:16" ht="12">
      <c r="B1" s="44" t="s">
        <v>105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2:16" ht="12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2:15" ht="12">
      <c r="B3" s="45" t="s">
        <v>106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2">
      <c r="B4" s="45" t="s">
        <v>121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6" spans="2:15" ht="11.25">
      <c r="B6" s="5"/>
      <c r="C6" s="5"/>
      <c r="D6" s="5"/>
      <c r="E6" s="5"/>
      <c r="F6" s="5"/>
      <c r="G6" s="27"/>
      <c r="H6" s="5"/>
      <c r="I6" s="5"/>
      <c r="J6" s="5"/>
      <c r="K6" s="5"/>
      <c r="L6" s="5"/>
      <c r="M6" s="5"/>
      <c r="N6" s="5"/>
      <c r="O6" s="4"/>
    </row>
    <row r="7" spans="2:15" ht="11.25">
      <c r="B7" s="4" t="s">
        <v>39</v>
      </c>
      <c r="C7" s="5"/>
      <c r="D7" s="5"/>
      <c r="E7" s="5"/>
      <c r="F7" s="5"/>
      <c r="G7" s="27"/>
      <c r="H7" s="5"/>
      <c r="I7" s="5"/>
      <c r="J7" s="5"/>
      <c r="K7" s="5"/>
      <c r="L7" s="5"/>
      <c r="M7" s="5"/>
      <c r="N7" s="5"/>
      <c r="O7" s="4"/>
    </row>
    <row r="8" spans="2:15" ht="11.25">
      <c r="B8" s="5" t="s">
        <v>13</v>
      </c>
      <c r="C8" s="5">
        <v>89943.57</v>
      </c>
      <c r="D8" s="5"/>
      <c r="E8" s="5"/>
      <c r="F8" s="5"/>
      <c r="G8" s="27"/>
      <c r="H8" s="5"/>
      <c r="I8" s="5"/>
      <c r="J8" s="5"/>
      <c r="K8" s="5"/>
      <c r="L8" s="5"/>
      <c r="M8" s="5"/>
      <c r="N8" s="5"/>
      <c r="O8" s="5">
        <f>C8+D8+E8+F8+G8+H8+I8+J8+K8+L8+M8+N8</f>
        <v>89943.57</v>
      </c>
    </row>
    <row r="9" spans="2:15" s="3" customFormat="1" ht="11.25">
      <c r="B9" s="4" t="s">
        <v>14</v>
      </c>
      <c r="C9" s="4">
        <f>C8</f>
        <v>89943.57</v>
      </c>
      <c r="D9" s="4">
        <f aca="true" t="shared" si="0" ref="D9:I9">C55</f>
        <v>86784.38</v>
      </c>
      <c r="E9" s="4">
        <f t="shared" si="0"/>
        <v>83997.72</v>
      </c>
      <c r="F9" s="4">
        <f t="shared" si="0"/>
        <v>71669.92000000001</v>
      </c>
      <c r="G9" s="28">
        <f t="shared" si="0"/>
        <v>77336.13</v>
      </c>
      <c r="H9" s="4">
        <f t="shared" si="0"/>
        <v>70375.32999999999</v>
      </c>
      <c r="I9" s="4">
        <f t="shared" si="0"/>
        <v>75826.19999999998</v>
      </c>
      <c r="J9" s="4">
        <f>I55</f>
        <v>83752.75999999998</v>
      </c>
      <c r="K9" s="4">
        <f>J55</f>
        <v>92177.22</v>
      </c>
      <c r="L9" s="4">
        <f>K55</f>
        <v>87013.71</v>
      </c>
      <c r="M9" s="4">
        <f>L55</f>
        <v>88468.42000000001</v>
      </c>
      <c r="N9" s="4">
        <f>M55</f>
        <v>88468.42000000001</v>
      </c>
      <c r="O9" s="4">
        <f>O8</f>
        <v>89943.57</v>
      </c>
    </row>
    <row r="10" spans="2:15" ht="11.25">
      <c r="B10" s="5"/>
      <c r="C10" s="5"/>
      <c r="D10" s="5"/>
      <c r="E10" s="5"/>
      <c r="F10" s="5"/>
      <c r="G10" s="27"/>
      <c r="H10" s="5"/>
      <c r="I10" s="5"/>
      <c r="J10" s="5"/>
      <c r="K10" s="5"/>
      <c r="L10" s="5"/>
      <c r="M10" s="5"/>
      <c r="N10" s="5"/>
      <c r="O10" s="4"/>
    </row>
    <row r="11" spans="2:15" ht="11.25">
      <c r="B11" s="5"/>
      <c r="C11" s="5"/>
      <c r="D11" s="5"/>
      <c r="E11" s="5"/>
      <c r="F11" s="5"/>
      <c r="G11" s="27"/>
      <c r="H11" s="5"/>
      <c r="I11" s="5"/>
      <c r="J11" s="5"/>
      <c r="K11" s="5"/>
      <c r="L11" s="5"/>
      <c r="M11" s="5"/>
      <c r="N11" s="5"/>
      <c r="O11" s="4"/>
    </row>
    <row r="12" spans="2:25" s="10" customFormat="1" ht="11.25">
      <c r="B12" s="8" t="s">
        <v>15</v>
      </c>
      <c r="C12" s="9"/>
      <c r="D12" s="9"/>
      <c r="E12" s="9"/>
      <c r="F12" s="9"/>
      <c r="G12" s="29"/>
      <c r="H12" s="9"/>
      <c r="I12" s="9"/>
      <c r="J12" s="9"/>
      <c r="K12" s="9"/>
      <c r="L12" s="9"/>
      <c r="M12" s="9"/>
      <c r="N12" s="9"/>
      <c r="O12" s="8"/>
      <c r="Y12" s="11"/>
    </row>
    <row r="13" spans="2:25" s="10" customFormat="1" ht="11.25">
      <c r="B13" s="9" t="s">
        <v>13</v>
      </c>
      <c r="C13" s="9">
        <v>38031.16</v>
      </c>
      <c r="D13" s="9">
        <v>38031.16</v>
      </c>
      <c r="E13" s="9">
        <v>38031.16</v>
      </c>
      <c r="F13" s="9">
        <v>38031.16</v>
      </c>
      <c r="G13" s="9">
        <v>38031.16</v>
      </c>
      <c r="H13" s="9">
        <v>38031.16</v>
      </c>
      <c r="I13" s="9">
        <v>39262.44</v>
      </c>
      <c r="J13" s="9">
        <v>39262.44</v>
      </c>
      <c r="K13" s="9">
        <v>39262.44</v>
      </c>
      <c r="L13" s="9">
        <v>36338.15</v>
      </c>
      <c r="M13" s="9"/>
      <c r="N13" s="9"/>
      <c r="O13" s="9">
        <f>C13+D13+E13+F13+G13+H13+I13+J13+K13+L13+M13+N13</f>
        <v>382312.43000000005</v>
      </c>
      <c r="Y13" s="11"/>
    </row>
    <row r="14" spans="2:25" s="10" customFormat="1" ht="11.25">
      <c r="B14" s="9" t="s">
        <v>33</v>
      </c>
      <c r="C14" s="9"/>
      <c r="D14" s="9"/>
      <c r="E14" s="9"/>
      <c r="F14" s="9"/>
      <c r="G14" s="29"/>
      <c r="H14" s="9"/>
      <c r="I14" s="9"/>
      <c r="J14" s="9"/>
      <c r="K14" s="9"/>
      <c r="L14" s="9">
        <v>4494.17</v>
      </c>
      <c r="M14" s="9"/>
      <c r="N14" s="9"/>
      <c r="O14" s="9">
        <f>C14+D14+E14+F14+G14+H14+I14+J14+K14+L14+M14+N14</f>
        <v>4494.17</v>
      </c>
      <c r="Y14" s="11"/>
    </row>
    <row r="15" spans="2:25" s="10" customFormat="1" ht="11.25">
      <c r="B15" s="16"/>
      <c r="C15" s="9"/>
      <c r="D15" s="9"/>
      <c r="E15" s="9"/>
      <c r="F15" s="9"/>
      <c r="G15" s="29"/>
      <c r="H15" s="9"/>
      <c r="I15" s="9"/>
      <c r="J15" s="9"/>
      <c r="K15" s="9"/>
      <c r="L15" s="9"/>
      <c r="M15" s="9"/>
      <c r="N15" s="9"/>
      <c r="O15" s="9"/>
      <c r="Y15" s="11"/>
    </row>
    <row r="16" spans="2:15" s="11" customFormat="1" ht="11.25">
      <c r="B16" s="8" t="s">
        <v>14</v>
      </c>
      <c r="C16" s="8">
        <f aca="true" t="shared" si="1" ref="C16:N16">SUM(C11:C14)</f>
        <v>38031.16</v>
      </c>
      <c r="D16" s="8">
        <f t="shared" si="1"/>
        <v>38031.16</v>
      </c>
      <c r="E16" s="8">
        <f t="shared" si="1"/>
        <v>38031.16</v>
      </c>
      <c r="F16" s="8">
        <f t="shared" si="1"/>
        <v>38031.16</v>
      </c>
      <c r="G16" s="30">
        <f t="shared" si="1"/>
        <v>38031.16</v>
      </c>
      <c r="H16" s="8">
        <f t="shared" si="1"/>
        <v>38031.16</v>
      </c>
      <c r="I16" s="8">
        <f t="shared" si="1"/>
        <v>39262.44</v>
      </c>
      <c r="J16" s="8">
        <f t="shared" si="1"/>
        <v>39262.44</v>
      </c>
      <c r="K16" s="8">
        <f t="shared" si="1"/>
        <v>39262.44</v>
      </c>
      <c r="L16" s="8">
        <f t="shared" si="1"/>
        <v>40832.32</v>
      </c>
      <c r="M16" s="8">
        <f t="shared" si="1"/>
        <v>0</v>
      </c>
      <c r="N16" s="8">
        <f t="shared" si="1"/>
        <v>0</v>
      </c>
      <c r="O16" s="8">
        <f>C16+D16+E16+F16+G16+H16+I16+J16+K16+L16+M16+N16</f>
        <v>386806.60000000003</v>
      </c>
    </row>
    <row r="17" spans="2:15" ht="11.25">
      <c r="B17" s="5"/>
      <c r="C17" s="5"/>
      <c r="D17" s="5"/>
      <c r="E17" s="5"/>
      <c r="F17" s="5"/>
      <c r="G17" s="27"/>
      <c r="H17" s="5"/>
      <c r="I17" s="5"/>
      <c r="J17" s="5"/>
      <c r="K17" s="5"/>
      <c r="L17" s="5"/>
      <c r="M17" s="5"/>
      <c r="N17" s="5"/>
      <c r="O17" s="4"/>
    </row>
    <row r="18" spans="2:25" s="25" customFormat="1" ht="11.25">
      <c r="B18" s="23" t="s">
        <v>16</v>
      </c>
      <c r="C18" s="24"/>
      <c r="D18" s="24"/>
      <c r="E18" s="24"/>
      <c r="F18" s="24"/>
      <c r="G18" s="31"/>
      <c r="H18" s="24"/>
      <c r="I18" s="24"/>
      <c r="J18" s="24"/>
      <c r="K18" s="24"/>
      <c r="L18" s="24"/>
      <c r="M18" s="24"/>
      <c r="N18" s="24"/>
      <c r="O18" s="23"/>
      <c r="Y18" s="26"/>
    </row>
    <row r="19" spans="2:25" s="25" customFormat="1" ht="11.25">
      <c r="B19" s="24" t="s">
        <v>13</v>
      </c>
      <c r="C19" s="24">
        <f>25944.34+1500+1166.3</f>
        <v>28610.64</v>
      </c>
      <c r="D19" s="24">
        <f>28769.78+1166.3+843</f>
        <v>30779.079999999998</v>
      </c>
      <c r="E19" s="24">
        <f>31720.57+1500</f>
        <v>33220.57</v>
      </c>
      <c r="F19" s="24">
        <f>30619.18+1500</f>
        <v>32119.18</v>
      </c>
      <c r="G19" s="31">
        <f>30169.71+1500</f>
        <v>31669.71</v>
      </c>
      <c r="H19" s="24">
        <f>36741.56+1500+1500</f>
        <v>39741.56</v>
      </c>
      <c r="I19" s="24">
        <f>50836.68+1500+1500</f>
        <v>53836.68</v>
      </c>
      <c r="J19" s="24">
        <f>32550.18+7614.61+150+1500</f>
        <v>41814.79</v>
      </c>
      <c r="K19" s="24">
        <f>24875.55+1500</f>
        <v>26375.55</v>
      </c>
      <c r="L19" s="24">
        <f>31097.74+1500</f>
        <v>32597.74</v>
      </c>
      <c r="M19" s="24"/>
      <c r="N19" s="24"/>
      <c r="O19" s="24">
        <f>C19+D19+E19+F19+G19+H19+I19+J19+K19+L19+M19+N19-2686.35</f>
        <v>348079.14999999997</v>
      </c>
      <c r="Y19" s="26"/>
    </row>
    <row r="20" spans="2:25" s="25" customFormat="1" ht="11.25">
      <c r="B20" s="9" t="s">
        <v>33</v>
      </c>
      <c r="C20" s="24"/>
      <c r="D20" s="24"/>
      <c r="E20" s="24"/>
      <c r="F20" s="24"/>
      <c r="G20" s="31"/>
      <c r="H20" s="24"/>
      <c r="I20" s="24"/>
      <c r="J20" s="24"/>
      <c r="K20" s="24"/>
      <c r="L20" s="24"/>
      <c r="M20" s="24"/>
      <c r="N20" s="24"/>
      <c r="O20" s="24">
        <f>C20+D20+E20+F20+G20+H20+I20+J20+K20+L20+M20+N20</f>
        <v>0</v>
      </c>
      <c r="Y20" s="26"/>
    </row>
    <row r="21" spans="2:25" s="25" customFormat="1" ht="11.25">
      <c r="B21" s="16"/>
      <c r="C21" s="24"/>
      <c r="D21" s="24"/>
      <c r="E21" s="24"/>
      <c r="F21" s="24"/>
      <c r="G21" s="31"/>
      <c r="H21" s="24"/>
      <c r="I21" s="24"/>
      <c r="J21" s="24"/>
      <c r="K21" s="24"/>
      <c r="L21" s="24"/>
      <c r="M21" s="24"/>
      <c r="N21" s="24"/>
      <c r="O21" s="24"/>
      <c r="Y21" s="26"/>
    </row>
    <row r="22" spans="2:15" s="26" customFormat="1" ht="11.25">
      <c r="B22" s="23" t="s">
        <v>14</v>
      </c>
      <c r="C22" s="23">
        <f aca="true" t="shared" si="2" ref="C22:O22">SUM(C19:C21)</f>
        <v>28610.64</v>
      </c>
      <c r="D22" s="23">
        <f t="shared" si="2"/>
        <v>30779.079999999998</v>
      </c>
      <c r="E22" s="23">
        <f t="shared" si="2"/>
        <v>33220.57</v>
      </c>
      <c r="F22" s="23">
        <f t="shared" si="2"/>
        <v>32119.18</v>
      </c>
      <c r="G22" s="32">
        <f t="shared" si="2"/>
        <v>31669.71</v>
      </c>
      <c r="H22" s="23">
        <f t="shared" si="2"/>
        <v>39741.56</v>
      </c>
      <c r="I22" s="23">
        <f t="shared" si="2"/>
        <v>53836.68</v>
      </c>
      <c r="J22" s="23">
        <f t="shared" si="2"/>
        <v>41814.79</v>
      </c>
      <c r="K22" s="23">
        <f t="shared" si="2"/>
        <v>26375.55</v>
      </c>
      <c r="L22" s="23">
        <f t="shared" si="2"/>
        <v>32597.74</v>
      </c>
      <c r="M22" s="23">
        <f t="shared" si="2"/>
        <v>0</v>
      </c>
      <c r="N22" s="23">
        <f t="shared" si="2"/>
        <v>0</v>
      </c>
      <c r="O22" s="23">
        <f t="shared" si="2"/>
        <v>348079.14999999997</v>
      </c>
    </row>
    <row r="23" spans="2:15" ht="11.25">
      <c r="B23" s="5"/>
      <c r="C23" s="5"/>
      <c r="D23" s="5"/>
      <c r="E23" s="5"/>
      <c r="F23" s="5"/>
      <c r="G23" s="27"/>
      <c r="H23" s="5"/>
      <c r="I23" s="5"/>
      <c r="J23" s="5"/>
      <c r="K23" s="5"/>
      <c r="L23" s="5"/>
      <c r="M23" s="5"/>
      <c r="N23" s="5"/>
      <c r="O23" s="4"/>
    </row>
    <row r="24" spans="2:15" ht="11.25">
      <c r="B24" s="4" t="s">
        <v>17</v>
      </c>
      <c r="C24" s="12">
        <f aca="true" t="shared" si="3" ref="C24:O24">C22/C16</f>
        <v>0.752294697295586</v>
      </c>
      <c r="D24" s="12">
        <f t="shared" si="3"/>
        <v>0.8093121535078077</v>
      </c>
      <c r="E24" s="12">
        <f t="shared" si="3"/>
        <v>0.8735092487318293</v>
      </c>
      <c r="F24" s="12">
        <f t="shared" si="3"/>
        <v>0.8445490487274119</v>
      </c>
      <c r="G24" s="33">
        <f t="shared" si="3"/>
        <v>0.8327305819754116</v>
      </c>
      <c r="H24" s="12">
        <f t="shared" si="3"/>
        <v>1.0449736479244913</v>
      </c>
      <c r="I24" s="12">
        <f t="shared" si="3"/>
        <v>1.3712005672597016</v>
      </c>
      <c r="J24" s="12">
        <f t="shared" si="3"/>
        <v>1.0650074218515202</v>
      </c>
      <c r="K24" s="12">
        <f t="shared" si="3"/>
        <v>0.6717756206695253</v>
      </c>
      <c r="L24" s="12">
        <f t="shared" si="3"/>
        <v>0.798331811662918</v>
      </c>
      <c r="M24" s="12" t="e">
        <f t="shared" si="3"/>
        <v>#DIV/0!</v>
      </c>
      <c r="N24" s="12" t="e">
        <f t="shared" si="3"/>
        <v>#DIV/0!</v>
      </c>
      <c r="O24" s="13">
        <f t="shared" si="3"/>
        <v>0.89987903515607</v>
      </c>
    </row>
    <row r="25" spans="2:15" ht="11.25">
      <c r="B25" s="4"/>
      <c r="C25" s="12"/>
      <c r="D25" s="12"/>
      <c r="E25" s="12"/>
      <c r="F25" s="12"/>
      <c r="G25" s="33"/>
      <c r="H25" s="12"/>
      <c r="I25" s="12"/>
      <c r="J25" s="12"/>
      <c r="K25" s="12"/>
      <c r="L25" s="12"/>
      <c r="M25" s="12"/>
      <c r="N25" s="12"/>
      <c r="O25" s="14"/>
    </row>
    <row r="26" spans="2:15" ht="11.25">
      <c r="B26" s="4" t="s">
        <v>18</v>
      </c>
      <c r="C26" s="7">
        <f aca="true" t="shared" si="4" ref="C26:O26">C16-C22</f>
        <v>9420.520000000004</v>
      </c>
      <c r="D26" s="7">
        <f t="shared" si="4"/>
        <v>7252.080000000005</v>
      </c>
      <c r="E26" s="7">
        <f t="shared" si="4"/>
        <v>4810.590000000004</v>
      </c>
      <c r="F26" s="7">
        <f t="shared" si="4"/>
        <v>5911.980000000003</v>
      </c>
      <c r="G26" s="34">
        <f t="shared" si="4"/>
        <v>6361.450000000004</v>
      </c>
      <c r="H26" s="7">
        <f t="shared" si="4"/>
        <v>-1710.3999999999942</v>
      </c>
      <c r="I26" s="7">
        <f t="shared" si="4"/>
        <v>-14574.239999999998</v>
      </c>
      <c r="J26" s="7">
        <f t="shared" si="4"/>
        <v>-2552.3499999999985</v>
      </c>
      <c r="K26" s="7">
        <f t="shared" si="4"/>
        <v>12886.890000000003</v>
      </c>
      <c r="L26" s="7">
        <f t="shared" si="4"/>
        <v>8234.579999999998</v>
      </c>
      <c r="M26" s="7">
        <f t="shared" si="4"/>
        <v>0</v>
      </c>
      <c r="N26" s="7">
        <f t="shared" si="4"/>
        <v>0</v>
      </c>
      <c r="O26" s="7">
        <f t="shared" si="4"/>
        <v>38727.45000000007</v>
      </c>
    </row>
    <row r="27" spans="2:15" ht="11.25">
      <c r="B27" s="5"/>
      <c r="C27" s="5"/>
      <c r="D27" s="5"/>
      <c r="E27" s="5"/>
      <c r="F27" s="5"/>
      <c r="G27" s="27"/>
      <c r="H27" s="5"/>
      <c r="I27" s="5"/>
      <c r="J27" s="5"/>
      <c r="K27" s="5"/>
      <c r="L27" s="5"/>
      <c r="M27" s="5"/>
      <c r="N27" s="5"/>
      <c r="O27" s="4"/>
    </row>
    <row r="28" spans="2:25" s="17" customFormat="1" ht="11.25">
      <c r="B28" s="15" t="s">
        <v>19</v>
      </c>
      <c r="C28" s="16"/>
      <c r="D28" s="16"/>
      <c r="E28" s="16"/>
      <c r="F28" s="16"/>
      <c r="G28" s="35"/>
      <c r="H28" s="16"/>
      <c r="I28" s="16"/>
      <c r="J28" s="16"/>
      <c r="K28" s="16"/>
      <c r="L28" s="16"/>
      <c r="M28" s="16"/>
      <c r="N28" s="16"/>
      <c r="O28" s="15"/>
      <c r="Y28" s="18"/>
    </row>
    <row r="29" spans="2:25" s="17" customFormat="1" ht="11.25">
      <c r="B29" s="16"/>
      <c r="C29" s="16"/>
      <c r="D29" s="16"/>
      <c r="E29" s="16"/>
      <c r="F29" s="16"/>
      <c r="G29" s="35"/>
      <c r="H29" s="16"/>
      <c r="I29" s="16"/>
      <c r="J29" s="16"/>
      <c r="K29" s="16"/>
      <c r="L29" s="16"/>
      <c r="M29" s="16"/>
      <c r="N29" s="16"/>
      <c r="O29" s="15"/>
      <c r="Y29" s="18"/>
    </row>
    <row r="30" spans="2:25" s="17" customFormat="1" ht="11.25">
      <c r="B30" s="16" t="s">
        <v>20</v>
      </c>
      <c r="C30" s="16">
        <v>111.1</v>
      </c>
      <c r="D30" s="16">
        <v>288.69</v>
      </c>
      <c r="E30" s="16">
        <v>397.39</v>
      </c>
      <c r="F30" s="16">
        <v>402.63</v>
      </c>
      <c r="G30" s="35">
        <v>683.08</v>
      </c>
      <c r="H30" s="16">
        <v>715.1</v>
      </c>
      <c r="I30" s="16">
        <v>519.96</v>
      </c>
      <c r="J30" s="16">
        <v>294.39</v>
      </c>
      <c r="K30" s="16">
        <f>336.53+150</f>
        <v>486.53</v>
      </c>
      <c r="L30" s="16">
        <v>818.28</v>
      </c>
      <c r="M30" s="16"/>
      <c r="N30" s="16"/>
      <c r="O30" s="16">
        <f>C30+D30+E30+F30+G30+H30+I30+J30+K30+L30+M30+N30</f>
        <v>4717.15</v>
      </c>
      <c r="Y30" s="18"/>
    </row>
    <row r="31" spans="2:25" s="17" customFormat="1" ht="11.25">
      <c r="B31" s="16" t="s">
        <v>32</v>
      </c>
      <c r="C31" s="16">
        <f>11912.63+291.25</f>
        <v>12203.88</v>
      </c>
      <c r="D31" s="16">
        <f>11621.39+793.97</f>
        <v>12415.359999999999</v>
      </c>
      <c r="E31" s="16">
        <v>11912.63</v>
      </c>
      <c r="F31" s="16">
        <v>11912.63</v>
      </c>
      <c r="G31" s="35">
        <v>11912.63</v>
      </c>
      <c r="H31" s="16">
        <v>11912.63</v>
      </c>
      <c r="I31" s="16">
        <v>11912.63</v>
      </c>
      <c r="J31" s="16">
        <v>11912.63</v>
      </c>
      <c r="K31" s="16">
        <v>11912.63</v>
      </c>
      <c r="L31" s="16">
        <v>11912.63</v>
      </c>
      <c r="M31" s="16"/>
      <c r="N31" s="16"/>
      <c r="O31" s="16">
        <f aca="true" t="shared" si="5" ref="O31:O52">C31+D31+E31+F31+G31+H31+I31+J31+K31+L31+M31+N31</f>
        <v>119920.28000000001</v>
      </c>
      <c r="Y31" s="18"/>
    </row>
    <row r="32" spans="2:25" s="17" customFormat="1" ht="11.25">
      <c r="B32" s="16" t="s">
        <v>26</v>
      </c>
      <c r="C32" s="16">
        <f>2283.45+978.82</f>
        <v>3262.27</v>
      </c>
      <c r="D32" s="16">
        <f>3509.35+1184.9</f>
        <v>4694.25</v>
      </c>
      <c r="E32" s="16">
        <f>3509.35+1184.9</f>
        <v>4694.25</v>
      </c>
      <c r="F32" s="16">
        <f>1536.25+1747.49+1184.9</f>
        <v>4468.639999999999</v>
      </c>
      <c r="G32" s="35">
        <f>1761.86+3509.35</f>
        <v>5271.21</v>
      </c>
      <c r="H32" s="16">
        <f>3509.35+1184.9</f>
        <v>4694.25</v>
      </c>
      <c r="I32" s="16">
        <f>3509.35+1184.9</f>
        <v>4694.25</v>
      </c>
      <c r="J32" s="16">
        <f>3509.35+1184.9</f>
        <v>4694.25</v>
      </c>
      <c r="K32" s="16">
        <f>3509.35+1184.9</f>
        <v>4694.25</v>
      </c>
      <c r="L32" s="16">
        <f>3509.35+1184.9</f>
        <v>4694.25</v>
      </c>
      <c r="M32" s="16"/>
      <c r="N32" s="16"/>
      <c r="O32" s="16">
        <f t="shared" si="5"/>
        <v>45861.869999999995</v>
      </c>
      <c r="Y32" s="18"/>
    </row>
    <row r="33" spans="2:25" s="17" customFormat="1" ht="11.25">
      <c r="B33" s="16" t="s">
        <v>27</v>
      </c>
      <c r="C33" s="16">
        <f>875.43+5613.77</f>
        <v>6489.200000000001</v>
      </c>
      <c r="D33" s="16">
        <f>582.5+5613.77</f>
        <v>6196.27</v>
      </c>
      <c r="E33" s="16">
        <v>5613.77</v>
      </c>
      <c r="F33" s="16">
        <v>1747.49</v>
      </c>
      <c r="G33" s="35">
        <f>3866.28+2912.48+1184.9</f>
        <v>7963.66</v>
      </c>
      <c r="H33" s="16">
        <f>2701.29+2912.48</f>
        <v>5613.77</v>
      </c>
      <c r="I33" s="16">
        <f>2701.29+2912.48</f>
        <v>5613.77</v>
      </c>
      <c r="J33" s="16">
        <f>6245.89+141.38</f>
        <v>6387.27</v>
      </c>
      <c r="K33" s="16">
        <f>6245.89+141.38</f>
        <v>6387.27</v>
      </c>
      <c r="L33" s="16">
        <f>6245.89+141.38+2701.29</f>
        <v>9088.560000000001</v>
      </c>
      <c r="M33" s="16"/>
      <c r="N33" s="16"/>
      <c r="O33" s="16">
        <f t="shared" si="5"/>
        <v>61101.03000000001</v>
      </c>
      <c r="Y33" s="18"/>
    </row>
    <row r="34" spans="2:25" s="17" customFormat="1" ht="11.25">
      <c r="B34" s="16" t="s">
        <v>23</v>
      </c>
      <c r="C34" s="16">
        <v>384.5</v>
      </c>
      <c r="D34" s="16">
        <v>1059.17</v>
      </c>
      <c r="E34" s="16">
        <v>5190.3</v>
      </c>
      <c r="F34" s="16">
        <v>1419.38</v>
      </c>
      <c r="G34" s="35">
        <v>1783.45</v>
      </c>
      <c r="H34" s="16">
        <v>653.72</v>
      </c>
      <c r="I34" s="16">
        <v>1500</v>
      </c>
      <c r="J34" s="16"/>
      <c r="K34" s="16">
        <v>3705.34</v>
      </c>
      <c r="L34" s="16"/>
      <c r="M34" s="16"/>
      <c r="N34" s="16"/>
      <c r="O34" s="16">
        <f t="shared" si="5"/>
        <v>15695.86</v>
      </c>
      <c r="Y34" s="18"/>
    </row>
    <row r="35" spans="2:25" s="17" customFormat="1" ht="11.25">
      <c r="B35" s="19" t="s">
        <v>28</v>
      </c>
      <c r="C35" s="16">
        <v>33.75</v>
      </c>
      <c r="D35" s="16">
        <v>33.75</v>
      </c>
      <c r="E35" s="16">
        <v>33.75</v>
      </c>
      <c r="F35" s="16">
        <v>33.75</v>
      </c>
      <c r="G35" s="35"/>
      <c r="H35" s="16"/>
      <c r="I35" s="16">
        <v>33.75</v>
      </c>
      <c r="J35" s="16">
        <v>33.75</v>
      </c>
      <c r="K35" s="16">
        <v>33.75</v>
      </c>
      <c r="L35" s="16">
        <v>33.75</v>
      </c>
      <c r="M35" s="16"/>
      <c r="N35" s="16"/>
      <c r="O35" s="16">
        <f t="shared" si="5"/>
        <v>270</v>
      </c>
      <c r="Y35" s="18"/>
    </row>
    <row r="36" spans="2:25" s="17" customFormat="1" ht="11.25">
      <c r="B36" s="16" t="s">
        <v>29</v>
      </c>
      <c r="C36" s="16">
        <v>3900</v>
      </c>
      <c r="D36" s="16">
        <v>3900</v>
      </c>
      <c r="E36" s="16">
        <v>3900</v>
      </c>
      <c r="F36" s="16">
        <v>1950</v>
      </c>
      <c r="G36" s="35">
        <f>1950+1950</f>
        <v>3900</v>
      </c>
      <c r="H36" s="16">
        <f>1950+1950</f>
        <v>3900</v>
      </c>
      <c r="I36" s="16">
        <f>1950+1950</f>
        <v>3900</v>
      </c>
      <c r="J36" s="16">
        <f>1950</f>
        <v>1950</v>
      </c>
      <c r="K36" s="16"/>
      <c r="L36" s="16"/>
      <c r="M36" s="16"/>
      <c r="N36" s="16"/>
      <c r="O36" s="16">
        <f t="shared" si="5"/>
        <v>27300</v>
      </c>
      <c r="Y36" s="18"/>
    </row>
    <row r="37" spans="2:25" s="17" customFormat="1" ht="11.25">
      <c r="B37" s="16" t="s">
        <v>31</v>
      </c>
      <c r="C37" s="16">
        <f>1844.25+233.53</f>
        <v>2077.78</v>
      </c>
      <c r="D37" s="16">
        <f>1283.81+793.97</f>
        <v>2077.7799999999997</v>
      </c>
      <c r="E37" s="16"/>
      <c r="F37" s="16">
        <f>1460.94+616.85</f>
        <v>2077.79</v>
      </c>
      <c r="G37" s="35">
        <f>1463+614.79</f>
        <v>2077.79</v>
      </c>
      <c r="H37" s="16"/>
      <c r="I37" s="16">
        <f>1433.94+1381.3+643.84+696.49</f>
        <v>4155.57</v>
      </c>
      <c r="J37" s="16">
        <f>1534.13+543.66</f>
        <v>2077.79</v>
      </c>
      <c r="K37" s="16">
        <f>1605.76+472.02</f>
        <v>2077.7799999999997</v>
      </c>
      <c r="L37" s="16">
        <v>2077.78</v>
      </c>
      <c r="M37" s="16"/>
      <c r="N37" s="16"/>
      <c r="O37" s="16">
        <f t="shared" si="5"/>
        <v>18700.059999999998</v>
      </c>
      <c r="Y37" s="18"/>
    </row>
    <row r="38" spans="2:25" s="17" customFormat="1" ht="11.25">
      <c r="B38" s="16" t="s">
        <v>30</v>
      </c>
      <c r="C38" s="16">
        <v>538.69</v>
      </c>
      <c r="D38" s="16">
        <v>538.69</v>
      </c>
      <c r="E38" s="16">
        <v>538.69</v>
      </c>
      <c r="F38" s="16">
        <v>538.69</v>
      </c>
      <c r="G38" s="35">
        <v>538.69</v>
      </c>
      <c r="H38" s="16">
        <v>538.69</v>
      </c>
      <c r="I38" s="16">
        <v>538.69</v>
      </c>
      <c r="J38" s="16">
        <v>538.69</v>
      </c>
      <c r="K38" s="16">
        <v>538.69</v>
      </c>
      <c r="L38" s="16">
        <v>538.69</v>
      </c>
      <c r="M38" s="16"/>
      <c r="N38" s="16"/>
      <c r="O38" s="16">
        <f t="shared" si="5"/>
        <v>5386.9000000000015</v>
      </c>
      <c r="Y38" s="18"/>
    </row>
    <row r="39" spans="2:25" s="17" customFormat="1" ht="11.25">
      <c r="B39" s="16" t="s">
        <v>24</v>
      </c>
      <c r="C39" s="16">
        <v>102.36</v>
      </c>
      <c r="D39" s="16">
        <v>352.48</v>
      </c>
      <c r="E39" s="16">
        <v>117.65</v>
      </c>
      <c r="F39" s="16">
        <v>401.97</v>
      </c>
      <c r="G39" s="35"/>
      <c r="H39" s="16">
        <v>201.65</v>
      </c>
      <c r="I39" s="16">
        <v>408</v>
      </c>
      <c r="J39" s="16">
        <v>374.82</v>
      </c>
      <c r="K39" s="16">
        <v>202.82</v>
      </c>
      <c r="L39" s="16">
        <v>479.09</v>
      </c>
      <c r="M39" s="16"/>
      <c r="N39" s="16"/>
      <c r="O39" s="16">
        <f t="shared" si="5"/>
        <v>2640.84</v>
      </c>
      <c r="Y39" s="18"/>
    </row>
    <row r="40" spans="2:25" s="17" customFormat="1" ht="11.25">
      <c r="B40" s="16" t="s">
        <v>34</v>
      </c>
      <c r="C40" s="16">
        <v>1500</v>
      </c>
      <c r="D40" s="16">
        <v>843</v>
      </c>
      <c r="E40" s="16">
        <v>1500</v>
      </c>
      <c r="F40" s="16">
        <v>1500</v>
      </c>
      <c r="G40" s="35">
        <v>1500</v>
      </c>
      <c r="H40" s="16">
        <v>1500</v>
      </c>
      <c r="I40" s="16">
        <v>1500</v>
      </c>
      <c r="J40" s="16">
        <v>1500</v>
      </c>
      <c r="K40" s="16">
        <v>1500</v>
      </c>
      <c r="L40" s="16">
        <v>1500</v>
      </c>
      <c r="M40" s="16"/>
      <c r="N40" s="16"/>
      <c r="O40" s="16">
        <f t="shared" si="5"/>
        <v>14343</v>
      </c>
      <c r="Y40" s="18"/>
    </row>
    <row r="41" spans="2:25" s="17" customFormat="1" ht="11.25">
      <c r="B41" s="16" t="s">
        <v>35</v>
      </c>
      <c r="C41" s="16"/>
      <c r="D41" s="16"/>
      <c r="E41" s="16"/>
      <c r="F41" s="16"/>
      <c r="G41" s="35"/>
      <c r="H41" s="16">
        <f>1537</f>
        <v>1537</v>
      </c>
      <c r="I41" s="16">
        <f>633.5+1500</f>
        <v>2133.5</v>
      </c>
      <c r="J41" s="16">
        <f>787+1500</f>
        <v>2287</v>
      </c>
      <c r="K41" s="16"/>
      <c r="L41" s="16"/>
      <c r="M41" s="16"/>
      <c r="N41" s="16"/>
      <c r="O41" s="16">
        <f t="shared" si="5"/>
        <v>5957.5</v>
      </c>
      <c r="Y41" s="18"/>
    </row>
    <row r="42" spans="2:25" s="17" customFormat="1" ht="11.25">
      <c r="B42" s="16" t="s">
        <v>36</v>
      </c>
      <c r="C42" s="16"/>
      <c r="D42" s="16"/>
      <c r="E42" s="16">
        <v>11649.94</v>
      </c>
      <c r="F42" s="16"/>
      <c r="G42" s="35"/>
      <c r="H42" s="16">
        <v>23.88</v>
      </c>
      <c r="I42" s="16"/>
      <c r="J42" s="16"/>
      <c r="K42" s="16"/>
      <c r="L42" s="16"/>
      <c r="M42" s="16"/>
      <c r="N42" s="16"/>
      <c r="O42" s="16">
        <f t="shared" si="5"/>
        <v>11673.82</v>
      </c>
      <c r="Y42" s="18"/>
    </row>
    <row r="43" spans="2:25" s="17" customFormat="1" ht="11.25">
      <c r="B43" s="16"/>
      <c r="C43" s="16"/>
      <c r="D43" s="16"/>
      <c r="E43" s="16"/>
      <c r="F43" s="16"/>
      <c r="G43" s="35"/>
      <c r="H43" s="16"/>
      <c r="I43" s="16"/>
      <c r="J43" s="16"/>
      <c r="K43" s="16"/>
      <c r="L43" s="16"/>
      <c r="M43" s="16"/>
      <c r="N43" s="16"/>
      <c r="O43" s="16"/>
      <c r="Y43" s="18"/>
    </row>
    <row r="44" spans="2:25" s="17" customFormat="1" ht="11.25">
      <c r="B44" s="41" t="s">
        <v>107</v>
      </c>
      <c r="C44" s="16"/>
      <c r="D44" s="16"/>
      <c r="E44" s="16"/>
      <c r="F44" s="16"/>
      <c r="G44" s="35"/>
      <c r="H44" s="16"/>
      <c r="I44" s="16"/>
      <c r="J44" s="16"/>
      <c r="K44" s="16"/>
      <c r="L44" s="16"/>
      <c r="M44" s="16"/>
      <c r="N44" s="16"/>
      <c r="O44" s="16">
        <v>5987.48</v>
      </c>
      <c r="Y44" s="18"/>
    </row>
    <row r="45" spans="2:25" s="17" customFormat="1" ht="11.25">
      <c r="B45" s="16" t="s">
        <v>63</v>
      </c>
      <c r="C45" s="16">
        <v>1166.3</v>
      </c>
      <c r="D45" s="16">
        <v>1166.3</v>
      </c>
      <c r="E45" s="16"/>
      <c r="F45" s="16"/>
      <c r="G45" s="35"/>
      <c r="H45" s="16"/>
      <c r="I45" s="16"/>
      <c r="J45" s="16"/>
      <c r="K45" s="16"/>
      <c r="L45" s="16"/>
      <c r="M45" s="16"/>
      <c r="N45" s="16"/>
      <c r="O45" s="16">
        <f t="shared" si="5"/>
        <v>2332.6</v>
      </c>
      <c r="Y45" s="18"/>
    </row>
    <row r="46" spans="2:25" s="17" customFormat="1" ht="11.25">
      <c r="B46" s="16" t="s">
        <v>57</v>
      </c>
      <c r="C46" s="16"/>
      <c r="D46" s="16"/>
      <c r="E46" s="16"/>
      <c r="F46" s="16"/>
      <c r="G46" s="35">
        <v>3000</v>
      </c>
      <c r="H46" s="16">
        <v>3000</v>
      </c>
      <c r="I46" s="16"/>
      <c r="J46" s="16"/>
      <c r="K46" s="16"/>
      <c r="L46" s="16"/>
      <c r="M46" s="16"/>
      <c r="N46" s="16"/>
      <c r="O46" s="16">
        <f t="shared" si="5"/>
        <v>6000</v>
      </c>
      <c r="Y46" s="18"/>
    </row>
    <row r="47" spans="2:25" s="17" customFormat="1" ht="11.25">
      <c r="B47" s="16" t="s">
        <v>77</v>
      </c>
      <c r="C47" s="16"/>
      <c r="D47" s="16"/>
      <c r="E47" s="16"/>
      <c r="F47" s="16"/>
      <c r="G47" s="35"/>
      <c r="H47" s="16"/>
      <c r="I47" s="16">
        <v>9000</v>
      </c>
      <c r="J47" s="16"/>
      <c r="K47" s="16"/>
      <c r="L47" s="16"/>
      <c r="M47" s="16"/>
      <c r="N47" s="16"/>
      <c r="O47" s="16">
        <f t="shared" si="5"/>
        <v>9000</v>
      </c>
      <c r="Y47" s="18"/>
    </row>
    <row r="48" spans="2:25" s="17" customFormat="1" ht="11.25">
      <c r="B48" s="16" t="s">
        <v>70</v>
      </c>
      <c r="C48" s="16"/>
      <c r="D48" s="16"/>
      <c r="E48" s="16"/>
      <c r="F48" s="16"/>
      <c r="G48" s="35"/>
      <c r="H48" s="16"/>
      <c r="I48" s="16"/>
      <c r="J48" s="16">
        <v>1339.74</v>
      </c>
      <c r="K48" s="16"/>
      <c r="L48" s="16"/>
      <c r="M48" s="16"/>
      <c r="N48" s="16"/>
      <c r="O48" s="16">
        <f t="shared" si="5"/>
        <v>1339.74</v>
      </c>
      <c r="Y48" s="18"/>
    </row>
    <row r="49" spans="2:25" s="17" customFormat="1" ht="11.25">
      <c r="B49" s="16"/>
      <c r="C49" s="16"/>
      <c r="D49" s="16"/>
      <c r="E49" s="16"/>
      <c r="F49" s="16"/>
      <c r="G49" s="35"/>
      <c r="H49" s="16"/>
      <c r="I49" s="16"/>
      <c r="J49" s="16"/>
      <c r="K49" s="16"/>
      <c r="L49" s="16"/>
      <c r="M49" s="16"/>
      <c r="N49" s="16"/>
      <c r="O49" s="16">
        <f t="shared" si="5"/>
        <v>0</v>
      </c>
      <c r="Y49" s="18"/>
    </row>
    <row r="50" spans="2:25" s="17" customFormat="1" ht="11.25">
      <c r="B50" s="16"/>
      <c r="C50" s="16"/>
      <c r="D50" s="16"/>
      <c r="E50" s="16"/>
      <c r="F50" s="16"/>
      <c r="G50" s="35"/>
      <c r="H50" s="16"/>
      <c r="I50" s="16"/>
      <c r="J50" s="16"/>
      <c r="K50" s="16"/>
      <c r="L50" s="16"/>
      <c r="M50" s="16"/>
      <c r="N50" s="16"/>
      <c r="O50" s="16">
        <f t="shared" si="5"/>
        <v>0</v>
      </c>
      <c r="Y50" s="18"/>
    </row>
    <row r="51" spans="2:25" s="17" customFormat="1" ht="11.25">
      <c r="B51" s="16"/>
      <c r="C51" s="16"/>
      <c r="D51" s="16"/>
      <c r="E51" s="16"/>
      <c r="F51" s="16"/>
      <c r="G51" s="35"/>
      <c r="H51" s="16"/>
      <c r="I51" s="16"/>
      <c r="J51" s="16"/>
      <c r="K51" s="16"/>
      <c r="L51" s="16"/>
      <c r="M51" s="16"/>
      <c r="N51" s="16"/>
      <c r="O51" s="16">
        <f t="shared" si="5"/>
        <v>0</v>
      </c>
      <c r="Y51" s="18"/>
    </row>
    <row r="52" spans="2:25" s="17" customFormat="1" ht="11.25">
      <c r="B52" s="16"/>
      <c r="C52" s="16"/>
      <c r="D52" s="16"/>
      <c r="E52" s="16"/>
      <c r="F52" s="16"/>
      <c r="G52" s="35"/>
      <c r="H52" s="16"/>
      <c r="I52" s="16"/>
      <c r="J52" s="16"/>
      <c r="K52" s="16"/>
      <c r="L52" s="16"/>
      <c r="M52" s="16"/>
      <c r="N52" s="16"/>
      <c r="O52" s="16">
        <f t="shared" si="5"/>
        <v>0</v>
      </c>
      <c r="Y52" s="18"/>
    </row>
    <row r="53" spans="2:25" s="17" customFormat="1" ht="11.25">
      <c r="B53" s="15" t="s">
        <v>14</v>
      </c>
      <c r="C53" s="15">
        <f aca="true" t="shared" si="6" ref="C53:O53">SUM(C30:C52)</f>
        <v>31769.829999999998</v>
      </c>
      <c r="D53" s="15">
        <f t="shared" si="6"/>
        <v>33565.74</v>
      </c>
      <c r="E53" s="15">
        <f t="shared" si="6"/>
        <v>45548.369999999995</v>
      </c>
      <c r="F53" s="15">
        <f t="shared" si="6"/>
        <v>26452.97</v>
      </c>
      <c r="G53" s="36">
        <f t="shared" si="6"/>
        <v>38630.51</v>
      </c>
      <c r="H53" s="15">
        <f t="shared" si="6"/>
        <v>34290.69</v>
      </c>
      <c r="I53" s="15">
        <f t="shared" si="6"/>
        <v>45910.12</v>
      </c>
      <c r="J53" s="15">
        <f t="shared" si="6"/>
        <v>33390.329999999994</v>
      </c>
      <c r="K53" s="15">
        <f t="shared" si="6"/>
        <v>31539.059999999998</v>
      </c>
      <c r="L53" s="15">
        <f t="shared" si="6"/>
        <v>31143.03</v>
      </c>
      <c r="M53" s="15">
        <f t="shared" si="6"/>
        <v>0</v>
      </c>
      <c r="N53" s="15">
        <f t="shared" si="6"/>
        <v>0</v>
      </c>
      <c r="O53" s="15">
        <f t="shared" si="6"/>
        <v>358228.13</v>
      </c>
      <c r="Y53" s="18"/>
    </row>
    <row r="54" ht="11.25">
      <c r="G54" s="37"/>
    </row>
    <row r="55" spans="2:15" ht="11.25">
      <c r="B55" s="20" t="s">
        <v>109</v>
      </c>
      <c r="C55" s="21">
        <f aca="true" t="shared" si="7" ref="C55:O55">C9+C22-C53</f>
        <v>86784.38</v>
      </c>
      <c r="D55" s="21">
        <f t="shared" si="7"/>
        <v>83997.72</v>
      </c>
      <c r="E55" s="21">
        <f t="shared" si="7"/>
        <v>71669.92000000001</v>
      </c>
      <c r="F55" s="21">
        <f t="shared" si="7"/>
        <v>77336.13</v>
      </c>
      <c r="G55" s="38">
        <f t="shared" si="7"/>
        <v>70375.32999999999</v>
      </c>
      <c r="H55" s="21">
        <f t="shared" si="7"/>
        <v>75826.19999999998</v>
      </c>
      <c r="I55" s="21">
        <f t="shared" si="7"/>
        <v>83752.75999999998</v>
      </c>
      <c r="J55" s="21">
        <f t="shared" si="7"/>
        <v>92177.22</v>
      </c>
      <c r="K55" s="21">
        <f t="shared" si="7"/>
        <v>87013.71</v>
      </c>
      <c r="L55" s="38">
        <f t="shared" si="7"/>
        <v>88468.42000000001</v>
      </c>
      <c r="M55" s="21">
        <f t="shared" si="7"/>
        <v>88468.42000000001</v>
      </c>
      <c r="N55" s="21">
        <f t="shared" si="7"/>
        <v>88468.42000000001</v>
      </c>
      <c r="O55" s="42">
        <f t="shared" si="7"/>
        <v>79794.58999999997</v>
      </c>
    </row>
    <row r="56" spans="2:15" s="3" customFormat="1" ht="11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ht="11.25">
      <c r="B57" s="2" t="s">
        <v>21</v>
      </c>
    </row>
    <row r="58" ht="11.25">
      <c r="B58" s="2" t="s">
        <v>22</v>
      </c>
    </row>
  </sheetData>
  <sheetProtection selectLockedCells="1" selectUnlockedCells="1"/>
  <mergeCells count="4">
    <mergeCell ref="B1:O1"/>
    <mergeCell ref="B2:O2"/>
    <mergeCell ref="B3:O3"/>
    <mergeCell ref="B4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2019-03-13T22:00:34Z</cp:lastPrinted>
  <dcterms:modified xsi:type="dcterms:W3CDTF">2019-05-23T05:05:25Z</dcterms:modified>
  <cp:category/>
  <cp:version/>
  <cp:contentType/>
  <cp:contentStatus/>
</cp:coreProperties>
</file>